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935" windowWidth="14820" windowHeight="6885" tabRatio="894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411" sheetId="54" r:id="rId12"/>
    <sheet name="NXT" sheetId="55" r:id="rId13"/>
    <sheet name="IN-NX" sheetId="56" r:id="rId14"/>
    <sheet name="152-CT" sheetId="57" r:id="rId15"/>
    <sheet name="TK" sheetId="58" r:id="rId16"/>
    <sheet name="BTGT" sheetId="60" r:id="rId17"/>
    <sheet name="THEGT" sheetId="61" r:id="rId18"/>
    <sheet name="154" sheetId="74" r:id="rId19"/>
    <sheet name="632" sheetId="75" r:id="rId20"/>
    <sheet name="642" sheetId="77" r:id="rId21"/>
    <sheet name="641" sheetId="78" r:id="rId22"/>
    <sheet name="Sheet2" sheetId="53" r:id="rId23"/>
    <sheet name="Sheet2 (2)" sheetId="79" r:id="rId24"/>
  </sheets>
  <externalReferences>
    <externalReference r:id="rId25"/>
    <externalReference r:id="rId26"/>
    <externalReference r:id="rId27"/>
  </externalReferences>
  <definedNames>
    <definedName name="_C111">TH!$Q$10:$Q$438</definedName>
    <definedName name="_C112">TH!$T$10:$T$438</definedName>
    <definedName name="_Fill" localSheetId="6" hidden="1">#REF!</definedName>
    <definedName name="_Fill" localSheetId="11" hidden="1">#REF!</definedName>
    <definedName name="_Fill" localSheetId="21" hidden="1">#REF!</definedName>
    <definedName name="_Fill" localSheetId="3" hidden="1">#REF!</definedName>
    <definedName name="_Fill" localSheetId="22" hidden="1">#REF!</definedName>
    <definedName name="_Fill" localSheetId="23" hidden="1">#REF!</definedName>
    <definedName name="_Fill" hidden="1">#REF!</definedName>
    <definedName name="_xlnm._FilterDatabase" localSheetId="4" hidden="1">'111'!$A$12:$J$81</definedName>
    <definedName name="_xlnm._FilterDatabase" localSheetId="6" hidden="1">'112'!$A$10:$K$34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16" hidden="1">BTGT!$A$6:$AC$16</definedName>
    <definedName name="_xlnm._FilterDatabase" localSheetId="3" hidden="1">CTTK!$A$13:$J$15</definedName>
    <definedName name="_xlnm._FilterDatabase" localSheetId="12" hidden="1">NXT!$B$11:$N$60</definedName>
    <definedName name="_xlnm._FilterDatabase" localSheetId="1" hidden="1">TH!$A$9:$AD$325</definedName>
    <definedName name="_xlnm._FilterDatabase" localSheetId="15" hidden="1">TK!$A$1:$J$1</definedName>
    <definedName name="_M">TH!$B$10:$B$438</definedName>
    <definedName name="_N111">TH!$P$10:$P$438</definedName>
    <definedName name="_N112">TH!$S$10:$S$438</definedName>
    <definedName name="_TM1">IF('IN-TC'!$S$4=1,1,IF('IN-TC'!$S$4=2,4,IF('IN-TC'!$S$4=3,7,10)))</definedName>
    <definedName name="_TM2">IF('IN-TC'!$S$4=1,3,IF('IN-TC'!$S$4=2,6,IF('IN-TC'!$S$4=3,9,12)))</definedName>
    <definedName name="DG">TH!$J$10:$J$438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IF(Loai4='641'!$M$5,ROW(Loai4)-1,"")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_131">'131'!$B$6:$B$15</definedName>
    <definedName name="DSGT1">BTGT!$B$7:$B$36</definedName>
    <definedName name="DSKH">'331'!$B$6:$B$8</definedName>
    <definedName name="DSSP1">BTGT!$B$7:$J$36</definedName>
    <definedName name="DSTK">CDPS!$A$10:$D$48</definedName>
    <definedName name="KH">TH!$H$10:$H$438</definedName>
    <definedName name="KHC">TH!$M$10:$M$438</definedName>
    <definedName name="KHN">TH!$L$10:$L$438</definedName>
    <definedName name="Loai" localSheetId="23">OFFSET('[1]NK-SC'!$J$11,,,COUNTA('[1]NK-SC'!$J$11:$J$3855))</definedName>
    <definedName name="Loai">OFFSET(TH!$N$5,,,COUNTA(TH!$N$5:$N$38748))</definedName>
    <definedName name="Loai1">OFFSET(TH!$O$5,,,COUNTA(TH!$O$5:$O$38748))</definedName>
    <definedName name="Loai2">OFFSET(TH!$R$5,,,COUNTA(TH!$R$5:$R$38748))</definedName>
    <definedName name="Loai3" localSheetId="23">OFFSET(INDIRECT(ADDRESS(MATCH(RIGHT([2]TH!$C1,2),_NXT1,0)+11,14,,,"NXT")),0,0,COUNTIF(_NXT1,RIGHT([2]TH!$C1,2)),1)</definedName>
    <definedName name="Loai3">OFFSET(#REF!,,,COUNTA(#REF!))</definedName>
    <definedName name="Loai4">OFFSET(TH!$U$5,,,COUNTA(TH!$U$5:$U$38748))</definedName>
    <definedName name="Loai5">OFFSET(TH!$V$5,,,COUNTA(TH!$V$5:$V$38748))</definedName>
    <definedName name="Loai6">OFFSET(TH!$Z$5,,,COUNTA(TH!$Z$5:$Z$38748))</definedName>
    <definedName name="Loai7">OFFSET(TH!$W$5,,,COUNTA(TH!$W$5:$W$38748))</definedName>
    <definedName name="Loai8">OFFSET(TH!$X$5,,,COUNTA(TH!$X$5:$X$38748))</definedName>
    <definedName name="Loai9">OFFSET(TH!$Y$5,,,COUNTA(TH!$Y$5:$Y$38748))</definedName>
    <definedName name="MH">TH!$F$10:$F$438</definedName>
    <definedName name="NXT">NXT!$A$12:$A$655</definedName>
    <definedName name="_xlnm.Print_Area" localSheetId="4">'111'!$A$1:$J$94</definedName>
    <definedName name="_xlnm.Print_Area" localSheetId="6">'112'!$A$1:$I$42</definedName>
    <definedName name="_xlnm.Print_Area" localSheetId="7">'131'!$A$1:$H$23</definedName>
    <definedName name="_xlnm.Print_Area" localSheetId="8">'131-CT'!$A$1:$J$46</definedName>
    <definedName name="_xlnm.Print_Area" localSheetId="14">'152-CT'!$B$2:$M$25</definedName>
    <definedName name="_xlnm.Print_Area" localSheetId="18">'154'!$A$2:$M$43</definedName>
    <definedName name="_xlnm.Print_Area" localSheetId="9">'331'!$A$1:$H$17</definedName>
    <definedName name="_xlnm.Print_Area" localSheetId="10">'331-CT'!$A$1:$J$65</definedName>
    <definedName name="_xlnm.Print_Area" localSheetId="19">'632'!$A$2:$J$30</definedName>
    <definedName name="_xlnm.Print_Area" localSheetId="21">'641'!$A$2:$L$35</definedName>
    <definedName name="_xlnm.Print_Area" localSheetId="20">'642'!$A$2:$L$40</definedName>
    <definedName name="_xlnm.Print_Area" localSheetId="3">CTTK!$A$2:$I$68</definedName>
    <definedName name="_xlnm.Print_Area" localSheetId="13">'IN-NX'!$A$1:$I$39</definedName>
    <definedName name="_xlnm.Print_Area" localSheetId="5">'IN-TC'!$B$1:$O$28</definedName>
    <definedName name="_xlnm.Print_Area" localSheetId="2">NKC!$A$1:$I$58</definedName>
    <definedName name="_xlnm.Print_Area" localSheetId="12">NXT!$B$1:$L$65</definedName>
    <definedName name="_xlnm.Print_Area" localSheetId="22">Sheet2!$A$1:$G$28</definedName>
    <definedName name="_xlnm.Print_Area" localSheetId="23">'Sheet2 (2)'!$A$1:$G$21</definedName>
    <definedName name="_xlnm.Print_Area" localSheetId="15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8">'154'!$11:$14</definedName>
    <definedName name="_xlnm.Print_Titles" localSheetId="10">'331-CT'!$10:$12</definedName>
    <definedName name="_xlnm.Print_Titles" localSheetId="21">'641'!$11:$14</definedName>
    <definedName name="_xlnm.Print_Titles" localSheetId="20">'642'!$11:$14</definedName>
    <definedName name="_xlnm.Print_Titles" localSheetId="3">CTTK!$11:$13</definedName>
    <definedName name="_xlnm.Print_Titles" localSheetId="2">NKC!$8:$9</definedName>
    <definedName name="_xlnm.Print_Titles" localSheetId="12">NXT!$8:$11</definedName>
    <definedName name="SL">TH!$I$10:$I$438</definedName>
    <definedName name="TH">TH!$K$10:$K$438</definedName>
    <definedName name="TM">TH!$A$10:$M$438</definedName>
  </definedNames>
  <calcPr calcId="144525"/>
</workbook>
</file>

<file path=xl/calcChain.xml><?xml version="1.0" encoding="utf-8"?>
<calcChain xmlns="http://schemas.openxmlformats.org/spreadsheetml/2006/main">
  <c r="Y78" i="34" l="1"/>
  <c r="X78" i="34"/>
  <c r="N78" i="34"/>
  <c r="C78" i="34"/>
  <c r="B78" i="34"/>
  <c r="Z78" i="34" s="1"/>
  <c r="P78" i="34" l="1"/>
  <c r="Q78" i="34"/>
  <c r="U78" i="34"/>
  <c r="A78" i="34"/>
  <c r="O78" i="34"/>
  <c r="S78" i="34"/>
  <c r="W78" i="34"/>
  <c r="T78" i="34"/>
  <c r="R78" i="34"/>
  <c r="A11" i="56"/>
  <c r="H7" i="60"/>
  <c r="N26" i="34"/>
  <c r="R26" i="34"/>
  <c r="S26" i="34"/>
  <c r="T26" i="34"/>
  <c r="X26" i="34"/>
  <c r="Y26" i="34"/>
  <c r="N27" i="34"/>
  <c r="X27" i="34"/>
  <c r="Y27" i="34"/>
  <c r="N28" i="34"/>
  <c r="R28" i="34"/>
  <c r="S28" i="34"/>
  <c r="T28" i="34"/>
  <c r="X28" i="34"/>
  <c r="Y28" i="34"/>
  <c r="N29" i="34"/>
  <c r="R29" i="34"/>
  <c r="S29" i="34"/>
  <c r="T29" i="34"/>
  <c r="X29" i="34"/>
  <c r="Y29" i="34"/>
  <c r="N30" i="34"/>
  <c r="R30" i="34"/>
  <c r="S30" i="34"/>
  <c r="T30" i="34"/>
  <c r="X30" i="34"/>
  <c r="Y30" i="34"/>
  <c r="N31" i="34"/>
  <c r="R31" i="34"/>
  <c r="S31" i="34"/>
  <c r="T31" i="34"/>
  <c r="X31" i="34"/>
  <c r="Y31" i="34"/>
  <c r="N32" i="34"/>
  <c r="X32" i="34"/>
  <c r="Y32" i="34"/>
  <c r="N33" i="34"/>
  <c r="R33" i="34"/>
  <c r="S33" i="34"/>
  <c r="T33" i="34"/>
  <c r="X33" i="34"/>
  <c r="Y33" i="34"/>
  <c r="N34" i="34"/>
  <c r="R34" i="34"/>
  <c r="S34" i="34"/>
  <c r="T34" i="34"/>
  <c r="X34" i="34"/>
  <c r="Y34" i="34"/>
  <c r="N35" i="34"/>
  <c r="R35" i="34"/>
  <c r="S35" i="34"/>
  <c r="T35" i="34"/>
  <c r="X35" i="34"/>
  <c r="Y35" i="34"/>
  <c r="N36" i="34"/>
  <c r="R36" i="34"/>
  <c r="S36" i="34"/>
  <c r="T36" i="34"/>
  <c r="X36" i="34"/>
  <c r="Y36" i="34"/>
  <c r="N37" i="34"/>
  <c r="R37" i="34"/>
  <c r="S37" i="34"/>
  <c r="T37" i="34"/>
  <c r="X37" i="34"/>
  <c r="Y37" i="34"/>
  <c r="N38" i="34"/>
  <c r="R38" i="34"/>
  <c r="S38" i="34"/>
  <c r="T38" i="34"/>
  <c r="X38" i="34"/>
  <c r="Y38" i="34"/>
  <c r="N39" i="34"/>
  <c r="R39" i="34"/>
  <c r="S39" i="34"/>
  <c r="T39" i="34"/>
  <c r="X39" i="34"/>
  <c r="Y39" i="34"/>
  <c r="N40" i="34"/>
  <c r="R40" i="34"/>
  <c r="S40" i="34"/>
  <c r="T40" i="34"/>
  <c r="X40" i="34"/>
  <c r="Y40" i="34"/>
  <c r="N41" i="34"/>
  <c r="R41" i="34"/>
  <c r="S41" i="34"/>
  <c r="T41" i="34"/>
  <c r="X41" i="34"/>
  <c r="Y41" i="34"/>
  <c r="N42" i="34"/>
  <c r="R42" i="34"/>
  <c r="S42" i="34"/>
  <c r="T42" i="34"/>
  <c r="X42" i="34"/>
  <c r="Y42" i="34"/>
  <c r="N43" i="34"/>
  <c r="R43" i="34"/>
  <c r="S43" i="34"/>
  <c r="T43" i="34"/>
  <c r="X43" i="34"/>
  <c r="Y43" i="34"/>
  <c r="N44" i="34"/>
  <c r="R44" i="34"/>
  <c r="S44" i="34"/>
  <c r="T44" i="34"/>
  <c r="X44" i="34"/>
  <c r="Y44" i="34"/>
  <c r="N45" i="34"/>
  <c r="R45" i="34"/>
  <c r="S45" i="34"/>
  <c r="T45" i="34"/>
  <c r="X45" i="34"/>
  <c r="Y45" i="34"/>
  <c r="N46" i="34"/>
  <c r="R46" i="34"/>
  <c r="S46" i="34"/>
  <c r="T46" i="34"/>
  <c r="X46" i="34"/>
  <c r="Y46" i="34"/>
  <c r="N47" i="34"/>
  <c r="R47" i="34"/>
  <c r="S47" i="34"/>
  <c r="T47" i="34"/>
  <c r="X47" i="34"/>
  <c r="Y47" i="34"/>
  <c r="N48" i="34"/>
  <c r="R48" i="34"/>
  <c r="S48" i="34"/>
  <c r="T48" i="34"/>
  <c r="X48" i="34"/>
  <c r="Y48" i="34"/>
  <c r="N49" i="34"/>
  <c r="R49" i="34"/>
  <c r="S49" i="34"/>
  <c r="T49" i="34"/>
  <c r="X49" i="34"/>
  <c r="Y49" i="34"/>
  <c r="N50" i="34"/>
  <c r="R50" i="34"/>
  <c r="S50" i="34"/>
  <c r="T50" i="34"/>
  <c r="X50" i="34"/>
  <c r="Y50" i="34"/>
  <c r="N51" i="34"/>
  <c r="R51" i="34"/>
  <c r="S51" i="34"/>
  <c r="T51" i="34"/>
  <c r="X51" i="34"/>
  <c r="Y51" i="34"/>
  <c r="N52" i="34"/>
  <c r="R52" i="34"/>
  <c r="S52" i="34"/>
  <c r="T52" i="34"/>
  <c r="X52" i="34"/>
  <c r="Y52" i="34"/>
  <c r="N53" i="34"/>
  <c r="R53" i="34"/>
  <c r="S53" i="34"/>
  <c r="T53" i="34"/>
  <c r="X53" i="34"/>
  <c r="Y53" i="34"/>
  <c r="N54" i="34"/>
  <c r="R54" i="34"/>
  <c r="S54" i="34"/>
  <c r="T54" i="34"/>
  <c r="X54" i="34"/>
  <c r="Y54" i="34"/>
  <c r="N55" i="34"/>
  <c r="R55" i="34"/>
  <c r="S55" i="34"/>
  <c r="T55" i="34"/>
  <c r="X55" i="34"/>
  <c r="Y55" i="34"/>
  <c r="N56" i="34"/>
  <c r="R56" i="34"/>
  <c r="S56" i="34"/>
  <c r="T56" i="34"/>
  <c r="X56" i="34"/>
  <c r="Y56" i="34"/>
  <c r="N57" i="34"/>
  <c r="R57" i="34"/>
  <c r="S57" i="34"/>
  <c r="T57" i="34"/>
  <c r="X57" i="34"/>
  <c r="Y57" i="34"/>
  <c r="N58" i="34"/>
  <c r="R58" i="34"/>
  <c r="S58" i="34"/>
  <c r="T58" i="34"/>
  <c r="X58" i="34"/>
  <c r="Y58" i="34"/>
  <c r="N59" i="34"/>
  <c r="R59" i="34"/>
  <c r="S59" i="34"/>
  <c r="T59" i="34"/>
  <c r="X59" i="34"/>
  <c r="Y59" i="34"/>
  <c r="N60" i="34"/>
  <c r="R60" i="34"/>
  <c r="S60" i="34"/>
  <c r="T60" i="34"/>
  <c r="X60" i="34"/>
  <c r="Y60" i="34"/>
  <c r="N61" i="34"/>
  <c r="X61" i="34"/>
  <c r="Y61" i="34"/>
  <c r="N62" i="34"/>
  <c r="R62" i="34"/>
  <c r="S62" i="34"/>
  <c r="T62" i="34"/>
  <c r="X62" i="34"/>
  <c r="Y62" i="34"/>
  <c r="N63" i="34"/>
  <c r="R63" i="34"/>
  <c r="S63" i="34"/>
  <c r="T63" i="34"/>
  <c r="X63" i="34"/>
  <c r="Y63" i="34"/>
  <c r="N64" i="34"/>
  <c r="R64" i="34"/>
  <c r="S64" i="34"/>
  <c r="T64" i="34"/>
  <c r="X64" i="34"/>
  <c r="Y64" i="34"/>
  <c r="N65" i="34"/>
  <c r="R65" i="34"/>
  <c r="S65" i="34"/>
  <c r="T65" i="34"/>
  <c r="X65" i="34"/>
  <c r="Y65" i="34"/>
  <c r="N66" i="34"/>
  <c r="R66" i="34"/>
  <c r="S66" i="34"/>
  <c r="T66" i="34"/>
  <c r="X66" i="34"/>
  <c r="Y66" i="34"/>
  <c r="N67" i="34"/>
  <c r="R67" i="34"/>
  <c r="S67" i="34"/>
  <c r="T67" i="34"/>
  <c r="X67" i="34"/>
  <c r="Y67" i="34"/>
  <c r="N68" i="34"/>
  <c r="R68" i="34"/>
  <c r="S68" i="34"/>
  <c r="T68" i="34"/>
  <c r="X68" i="34"/>
  <c r="Y68" i="34"/>
  <c r="N69" i="34"/>
  <c r="R69" i="34"/>
  <c r="S69" i="34"/>
  <c r="T69" i="34"/>
  <c r="X69" i="34"/>
  <c r="Y69" i="34"/>
  <c r="N70" i="34"/>
  <c r="X70" i="34"/>
  <c r="Y70" i="34"/>
  <c r="N71" i="34"/>
  <c r="X71" i="34"/>
  <c r="Y71" i="34"/>
  <c r="N72" i="34"/>
  <c r="R72" i="34"/>
  <c r="S72" i="34"/>
  <c r="T72" i="34"/>
  <c r="X72" i="34"/>
  <c r="Y72" i="34"/>
  <c r="N73" i="34"/>
  <c r="R73" i="34"/>
  <c r="S73" i="34"/>
  <c r="T73" i="34"/>
  <c r="X73" i="34"/>
  <c r="Y73" i="34"/>
  <c r="N74" i="34"/>
  <c r="R74" i="34"/>
  <c r="S74" i="34"/>
  <c r="T74" i="34"/>
  <c r="X74" i="34"/>
  <c r="Y74" i="34"/>
  <c r="N75" i="34"/>
  <c r="X75" i="34"/>
  <c r="Y75" i="34"/>
  <c r="N76" i="34"/>
  <c r="X76" i="34"/>
  <c r="Y76" i="34"/>
  <c r="N77" i="34"/>
  <c r="X77" i="34"/>
  <c r="Y77" i="34"/>
  <c r="N79" i="34"/>
  <c r="R79" i="34"/>
  <c r="S79" i="34"/>
  <c r="T79" i="34"/>
  <c r="X79" i="34"/>
  <c r="Y79" i="34"/>
  <c r="N80" i="34"/>
  <c r="R80" i="34"/>
  <c r="S80" i="34"/>
  <c r="T80" i="34"/>
  <c r="X80" i="34"/>
  <c r="Y80" i="34"/>
  <c r="N81" i="34"/>
  <c r="R81" i="34"/>
  <c r="S81" i="34"/>
  <c r="T81" i="34"/>
  <c r="X81" i="34"/>
  <c r="Y81" i="34"/>
  <c r="N82" i="34"/>
  <c r="R82" i="34"/>
  <c r="S82" i="34"/>
  <c r="T82" i="34"/>
  <c r="X82" i="34"/>
  <c r="Y82" i="34"/>
  <c r="N83" i="34"/>
  <c r="R83" i="34"/>
  <c r="S83" i="34"/>
  <c r="T83" i="34"/>
  <c r="X83" i="34"/>
  <c r="Y83" i="34"/>
  <c r="N84" i="34"/>
  <c r="X84" i="34"/>
  <c r="Y84" i="34"/>
  <c r="N85" i="34"/>
  <c r="R85" i="34"/>
  <c r="S85" i="34"/>
  <c r="T85" i="34"/>
  <c r="X85" i="34"/>
  <c r="Y85" i="34"/>
  <c r="N86" i="34"/>
  <c r="R86" i="34"/>
  <c r="S86" i="34"/>
  <c r="T86" i="34"/>
  <c r="X86" i="34"/>
  <c r="Y86" i="34"/>
  <c r="N87" i="34"/>
  <c r="R87" i="34"/>
  <c r="S87" i="34"/>
  <c r="T87" i="34"/>
  <c r="X87" i="34"/>
  <c r="Y87" i="34"/>
  <c r="N88" i="34"/>
  <c r="R88" i="34"/>
  <c r="S88" i="34"/>
  <c r="T88" i="34"/>
  <c r="X88" i="34"/>
  <c r="Y88" i="34"/>
  <c r="N89" i="34"/>
  <c r="R89" i="34"/>
  <c r="S89" i="34"/>
  <c r="T89" i="34"/>
  <c r="X89" i="34"/>
  <c r="Y89" i="34"/>
  <c r="N90" i="34"/>
  <c r="R90" i="34"/>
  <c r="S90" i="34"/>
  <c r="T90" i="34"/>
  <c r="X90" i="34"/>
  <c r="Y90" i="34"/>
  <c r="N91" i="34"/>
  <c r="R91" i="34"/>
  <c r="S91" i="34"/>
  <c r="T91" i="34"/>
  <c r="X91" i="34"/>
  <c r="Y91" i="34"/>
  <c r="N92" i="34"/>
  <c r="R92" i="34"/>
  <c r="S92" i="34"/>
  <c r="T92" i="34"/>
  <c r="X92" i="34"/>
  <c r="Y92" i="34"/>
  <c r="N93" i="34"/>
  <c r="R93" i="34"/>
  <c r="S93" i="34"/>
  <c r="T93" i="34"/>
  <c r="X93" i="34"/>
  <c r="Y93" i="34"/>
  <c r="N94" i="34"/>
  <c r="R94" i="34"/>
  <c r="S94" i="34"/>
  <c r="T94" i="34"/>
  <c r="X94" i="34"/>
  <c r="Y94" i="34"/>
  <c r="N95" i="34"/>
  <c r="R95" i="34"/>
  <c r="S95" i="34"/>
  <c r="T95" i="34"/>
  <c r="X95" i="34"/>
  <c r="Y95" i="34"/>
  <c r="N96" i="34"/>
  <c r="R96" i="34"/>
  <c r="S96" i="34"/>
  <c r="T96" i="34"/>
  <c r="X96" i="34"/>
  <c r="Y96" i="34"/>
  <c r="N97" i="34"/>
  <c r="R97" i="34"/>
  <c r="S97" i="34"/>
  <c r="T97" i="34"/>
  <c r="X97" i="34"/>
  <c r="Y97" i="34"/>
  <c r="N98" i="34"/>
  <c r="R98" i="34"/>
  <c r="S98" i="34"/>
  <c r="T98" i="34"/>
  <c r="X98" i="34"/>
  <c r="Y98" i="34"/>
  <c r="N99" i="34"/>
  <c r="R99" i="34"/>
  <c r="S99" i="34"/>
  <c r="T99" i="34"/>
  <c r="X99" i="34"/>
  <c r="Y99" i="34"/>
  <c r="N100" i="34"/>
  <c r="R100" i="34"/>
  <c r="S100" i="34"/>
  <c r="T100" i="34"/>
  <c r="X100" i="34"/>
  <c r="Y100" i="34"/>
  <c r="N101" i="34"/>
  <c r="X101" i="34"/>
  <c r="Y101" i="34"/>
  <c r="N102" i="34"/>
  <c r="X102" i="34"/>
  <c r="Y102" i="34"/>
  <c r="N103" i="34"/>
  <c r="X103" i="34"/>
  <c r="Y103" i="34"/>
  <c r="N104" i="34"/>
  <c r="R104" i="34"/>
  <c r="S104" i="34"/>
  <c r="T104" i="34"/>
  <c r="X104" i="34"/>
  <c r="Y104" i="34"/>
  <c r="N105" i="34"/>
  <c r="R105" i="34"/>
  <c r="S105" i="34"/>
  <c r="T105" i="34"/>
  <c r="X105" i="34"/>
  <c r="Y105" i="34"/>
  <c r="N106" i="34"/>
  <c r="R106" i="34"/>
  <c r="S106" i="34"/>
  <c r="T106" i="34"/>
  <c r="X106" i="34"/>
  <c r="Y106" i="34"/>
  <c r="N107" i="34"/>
  <c r="R107" i="34"/>
  <c r="S107" i="34"/>
  <c r="T107" i="34"/>
  <c r="X107" i="34"/>
  <c r="Y107" i="34"/>
  <c r="N108" i="34"/>
  <c r="R108" i="34"/>
  <c r="S108" i="34"/>
  <c r="T108" i="34"/>
  <c r="X108" i="34"/>
  <c r="Y108" i="34"/>
  <c r="N109" i="34"/>
  <c r="R109" i="34"/>
  <c r="S109" i="34"/>
  <c r="T109" i="34"/>
  <c r="X109" i="34"/>
  <c r="Y109" i="34"/>
  <c r="N110" i="34"/>
  <c r="R110" i="34"/>
  <c r="S110" i="34"/>
  <c r="T110" i="34"/>
  <c r="X110" i="34"/>
  <c r="Y110" i="34"/>
  <c r="N111" i="34"/>
  <c r="R111" i="34"/>
  <c r="S111" i="34"/>
  <c r="T111" i="34"/>
  <c r="X111" i="34"/>
  <c r="Y111" i="34"/>
  <c r="N112" i="34"/>
  <c r="R112" i="34"/>
  <c r="S112" i="34"/>
  <c r="T112" i="34"/>
  <c r="X112" i="34"/>
  <c r="Y112" i="34"/>
  <c r="N113" i="34"/>
  <c r="R113" i="34"/>
  <c r="S113" i="34"/>
  <c r="T113" i="34"/>
  <c r="X113" i="34"/>
  <c r="Y113" i="34"/>
  <c r="N114" i="34"/>
  <c r="R114" i="34"/>
  <c r="S114" i="34"/>
  <c r="T114" i="34"/>
  <c r="X114" i="34"/>
  <c r="Y114" i="34"/>
  <c r="N115" i="34"/>
  <c r="R115" i="34"/>
  <c r="S115" i="34"/>
  <c r="T115" i="34"/>
  <c r="X115" i="34"/>
  <c r="Y115" i="34"/>
  <c r="N116" i="34"/>
  <c r="R116" i="34"/>
  <c r="S116" i="34"/>
  <c r="T116" i="34"/>
  <c r="X116" i="34"/>
  <c r="Y116" i="34"/>
  <c r="N117" i="34"/>
  <c r="R117" i="34"/>
  <c r="S117" i="34"/>
  <c r="T117" i="34"/>
  <c r="X117" i="34"/>
  <c r="Y117" i="34"/>
  <c r="N118" i="34"/>
  <c r="R118" i="34"/>
  <c r="S118" i="34"/>
  <c r="T118" i="34"/>
  <c r="X118" i="34"/>
  <c r="Y118" i="34"/>
  <c r="N119" i="34"/>
  <c r="R119" i="34"/>
  <c r="S119" i="34"/>
  <c r="T119" i="34"/>
  <c r="X119" i="34"/>
  <c r="Y119" i="34"/>
  <c r="N120" i="34"/>
  <c r="R120" i="34"/>
  <c r="S120" i="34"/>
  <c r="T120" i="34"/>
  <c r="X120" i="34"/>
  <c r="Y120" i="34"/>
  <c r="N121" i="34"/>
  <c r="R121" i="34"/>
  <c r="S121" i="34"/>
  <c r="T121" i="34"/>
  <c r="X121" i="34"/>
  <c r="Y121" i="34"/>
  <c r="N122" i="34"/>
  <c r="R122" i="34"/>
  <c r="S122" i="34"/>
  <c r="T122" i="34"/>
  <c r="X122" i="34"/>
  <c r="Y122" i="34"/>
  <c r="N123" i="34"/>
  <c r="R123" i="34"/>
  <c r="S123" i="34"/>
  <c r="T123" i="34"/>
  <c r="X123" i="34"/>
  <c r="Y123" i="34"/>
  <c r="N124" i="34"/>
  <c r="R124" i="34"/>
  <c r="S124" i="34"/>
  <c r="T124" i="34"/>
  <c r="X124" i="34"/>
  <c r="Y124" i="34"/>
  <c r="N125" i="34"/>
  <c r="X125" i="34"/>
  <c r="Y125" i="34"/>
  <c r="N126" i="34"/>
  <c r="R126" i="34"/>
  <c r="S126" i="34"/>
  <c r="T126" i="34"/>
  <c r="X126" i="34"/>
  <c r="Y126" i="34"/>
  <c r="N127" i="34"/>
  <c r="R127" i="34"/>
  <c r="S127" i="34"/>
  <c r="T127" i="34"/>
  <c r="X127" i="34"/>
  <c r="Y127" i="34"/>
  <c r="N128" i="34"/>
  <c r="R128" i="34"/>
  <c r="S128" i="34"/>
  <c r="T128" i="34"/>
  <c r="X128" i="34"/>
  <c r="Y128" i="34"/>
  <c r="N129" i="34"/>
  <c r="R129" i="34"/>
  <c r="S129" i="34"/>
  <c r="T129" i="34"/>
  <c r="X129" i="34"/>
  <c r="Y129" i="34"/>
  <c r="N130" i="34"/>
  <c r="R130" i="34"/>
  <c r="S130" i="34"/>
  <c r="T130" i="34"/>
  <c r="X130" i="34"/>
  <c r="Y130" i="34"/>
  <c r="N131" i="34"/>
  <c r="R131" i="34"/>
  <c r="S131" i="34"/>
  <c r="T131" i="34"/>
  <c r="X131" i="34"/>
  <c r="Y131" i="34"/>
  <c r="N132" i="34"/>
  <c r="R132" i="34"/>
  <c r="S132" i="34"/>
  <c r="T132" i="34"/>
  <c r="X132" i="34"/>
  <c r="Y132" i="34"/>
  <c r="N133" i="34"/>
  <c r="R133" i="34"/>
  <c r="S133" i="34"/>
  <c r="T133" i="34"/>
  <c r="X133" i="34"/>
  <c r="Y133" i="34"/>
  <c r="N134" i="34"/>
  <c r="R134" i="34"/>
  <c r="S134" i="34"/>
  <c r="T134" i="34"/>
  <c r="X134" i="34"/>
  <c r="Y134" i="34"/>
  <c r="N135" i="34"/>
  <c r="R135" i="34"/>
  <c r="S135" i="34"/>
  <c r="T135" i="34"/>
  <c r="X135" i="34"/>
  <c r="Y135" i="34"/>
  <c r="N136" i="34"/>
  <c r="R136" i="34"/>
  <c r="S136" i="34"/>
  <c r="T136" i="34"/>
  <c r="X136" i="34"/>
  <c r="Y136" i="34"/>
  <c r="N137" i="34"/>
  <c r="R137" i="34"/>
  <c r="S137" i="34"/>
  <c r="T137" i="34"/>
  <c r="X137" i="34"/>
  <c r="Y137" i="34"/>
  <c r="N138" i="34"/>
  <c r="R138" i="34"/>
  <c r="S138" i="34"/>
  <c r="T138" i="34"/>
  <c r="X138" i="34"/>
  <c r="Y138" i="34"/>
  <c r="N139" i="34"/>
  <c r="R139" i="34"/>
  <c r="S139" i="34"/>
  <c r="T139" i="34"/>
  <c r="X139" i="34"/>
  <c r="Y139" i="34"/>
  <c r="N140" i="34"/>
  <c r="R140" i="34"/>
  <c r="S140" i="34"/>
  <c r="T140" i="34"/>
  <c r="X140" i="34"/>
  <c r="Y140" i="34"/>
  <c r="N141" i="34"/>
  <c r="R141" i="34"/>
  <c r="S141" i="34"/>
  <c r="T141" i="34"/>
  <c r="X141" i="34"/>
  <c r="Y141" i="34"/>
  <c r="N142" i="34"/>
  <c r="X142" i="34"/>
  <c r="Y142" i="34"/>
  <c r="N143" i="34"/>
  <c r="R143" i="34"/>
  <c r="S143" i="34"/>
  <c r="T143" i="34"/>
  <c r="X143" i="34"/>
  <c r="Y143" i="34"/>
  <c r="N144" i="34"/>
  <c r="R144" i="34"/>
  <c r="S144" i="34"/>
  <c r="T144" i="34"/>
  <c r="X144" i="34"/>
  <c r="Y144" i="34"/>
  <c r="N145" i="34"/>
  <c r="R145" i="34"/>
  <c r="S145" i="34"/>
  <c r="T145" i="34"/>
  <c r="X145" i="34"/>
  <c r="Y145" i="34"/>
  <c r="N146" i="34"/>
  <c r="R146" i="34"/>
  <c r="S146" i="34"/>
  <c r="T146" i="34"/>
  <c r="X146" i="34"/>
  <c r="Y146" i="34"/>
  <c r="N147" i="34"/>
  <c r="R147" i="34"/>
  <c r="S147" i="34"/>
  <c r="T147" i="34"/>
  <c r="X147" i="34"/>
  <c r="Y147" i="34"/>
  <c r="N148" i="34"/>
  <c r="R148" i="34"/>
  <c r="S148" i="34"/>
  <c r="T148" i="34"/>
  <c r="X148" i="34"/>
  <c r="Y148" i="34"/>
  <c r="N149" i="34"/>
  <c r="R149" i="34"/>
  <c r="S149" i="34"/>
  <c r="T149" i="34"/>
  <c r="X149" i="34"/>
  <c r="Y149" i="34"/>
  <c r="N150" i="34"/>
  <c r="R150" i="34"/>
  <c r="S150" i="34"/>
  <c r="T150" i="34"/>
  <c r="X150" i="34"/>
  <c r="Y150" i="34"/>
  <c r="N151" i="34"/>
  <c r="R151" i="34"/>
  <c r="S151" i="34"/>
  <c r="T151" i="34"/>
  <c r="X151" i="34"/>
  <c r="Y151" i="34"/>
  <c r="N152" i="34"/>
  <c r="R152" i="34"/>
  <c r="S152" i="34"/>
  <c r="T152" i="34"/>
  <c r="X152" i="34"/>
  <c r="Y152" i="34"/>
  <c r="N153" i="34"/>
  <c r="R153" i="34"/>
  <c r="S153" i="34"/>
  <c r="T153" i="34"/>
  <c r="X153" i="34"/>
  <c r="Y153" i="34"/>
  <c r="N154" i="34"/>
  <c r="R154" i="34"/>
  <c r="S154" i="34"/>
  <c r="T154" i="34"/>
  <c r="X154" i="34"/>
  <c r="Y154" i="34"/>
  <c r="N155" i="34"/>
  <c r="R155" i="34"/>
  <c r="S155" i="34"/>
  <c r="T155" i="34"/>
  <c r="X155" i="34"/>
  <c r="Y155" i="34"/>
  <c r="N156" i="34"/>
  <c r="R156" i="34"/>
  <c r="S156" i="34"/>
  <c r="T156" i="34"/>
  <c r="X156" i="34"/>
  <c r="Y156" i="34"/>
  <c r="N157" i="34"/>
  <c r="R157" i="34"/>
  <c r="S157" i="34"/>
  <c r="T157" i="34"/>
  <c r="X157" i="34"/>
  <c r="Y157" i="34"/>
  <c r="N158" i="34"/>
  <c r="R158" i="34"/>
  <c r="S158" i="34"/>
  <c r="T158" i="34"/>
  <c r="X158" i="34"/>
  <c r="Y158" i="34"/>
  <c r="N159" i="34"/>
  <c r="R159" i="34"/>
  <c r="S159" i="34"/>
  <c r="T159" i="34"/>
  <c r="X159" i="34"/>
  <c r="Y159" i="34"/>
  <c r="N160" i="34"/>
  <c r="R160" i="34"/>
  <c r="S160" i="34"/>
  <c r="T160" i="34"/>
  <c r="X160" i="34"/>
  <c r="Y160" i="34"/>
  <c r="N161" i="34"/>
  <c r="R161" i="34"/>
  <c r="S161" i="34"/>
  <c r="T161" i="34"/>
  <c r="X161" i="34"/>
  <c r="Y161" i="34"/>
  <c r="N162" i="34"/>
  <c r="R162" i="34"/>
  <c r="S162" i="34"/>
  <c r="T162" i="34"/>
  <c r="X162" i="34"/>
  <c r="Y162" i="34"/>
  <c r="N163" i="34"/>
  <c r="R163" i="34"/>
  <c r="S163" i="34"/>
  <c r="T163" i="34"/>
  <c r="X163" i="34"/>
  <c r="Y163" i="34"/>
  <c r="N164" i="34"/>
  <c r="R164" i="34"/>
  <c r="S164" i="34"/>
  <c r="T164" i="34"/>
  <c r="X164" i="34"/>
  <c r="Y164" i="34"/>
  <c r="N165" i="34"/>
  <c r="R165" i="34"/>
  <c r="S165" i="34"/>
  <c r="T165" i="34"/>
  <c r="X165" i="34"/>
  <c r="Y165" i="34"/>
  <c r="N166" i="34"/>
  <c r="R166" i="34"/>
  <c r="S166" i="34"/>
  <c r="T166" i="34"/>
  <c r="X166" i="34"/>
  <c r="Y166" i="34"/>
  <c r="N167" i="34"/>
  <c r="R167" i="34"/>
  <c r="S167" i="34"/>
  <c r="T167" i="34"/>
  <c r="X167" i="34"/>
  <c r="Y167" i="34"/>
  <c r="N168" i="34"/>
  <c r="R168" i="34"/>
  <c r="S168" i="34"/>
  <c r="T168" i="34"/>
  <c r="X168" i="34"/>
  <c r="Y168" i="34"/>
  <c r="N169" i="34"/>
  <c r="X169" i="34"/>
  <c r="Y169" i="34"/>
  <c r="N170" i="34"/>
  <c r="R170" i="34"/>
  <c r="S170" i="34"/>
  <c r="T170" i="34"/>
  <c r="X170" i="34"/>
  <c r="Y170" i="34"/>
  <c r="N171" i="34"/>
  <c r="R171" i="34"/>
  <c r="S171" i="34"/>
  <c r="T171" i="34"/>
  <c r="X171" i="34"/>
  <c r="Y171" i="34"/>
  <c r="N172" i="34"/>
  <c r="R172" i="34"/>
  <c r="S172" i="34"/>
  <c r="T172" i="34"/>
  <c r="X172" i="34"/>
  <c r="Y172" i="34"/>
  <c r="N173" i="34"/>
  <c r="R173" i="34"/>
  <c r="S173" i="34"/>
  <c r="T173" i="34"/>
  <c r="X173" i="34"/>
  <c r="Y173" i="34"/>
  <c r="N174" i="34"/>
  <c r="R174" i="34"/>
  <c r="S174" i="34"/>
  <c r="T174" i="34"/>
  <c r="X174" i="34"/>
  <c r="Y174" i="34"/>
  <c r="N175" i="34"/>
  <c r="R175" i="34"/>
  <c r="S175" i="34"/>
  <c r="T175" i="34"/>
  <c r="X175" i="34"/>
  <c r="Y175" i="34"/>
  <c r="N176" i="34"/>
  <c r="R176" i="34"/>
  <c r="S176" i="34"/>
  <c r="T176" i="34"/>
  <c r="X176" i="34"/>
  <c r="Y176" i="34"/>
  <c r="N177" i="34"/>
  <c r="R177" i="34"/>
  <c r="S177" i="34"/>
  <c r="T177" i="34"/>
  <c r="X177" i="34"/>
  <c r="Y177" i="34"/>
  <c r="N178" i="34"/>
  <c r="R178" i="34"/>
  <c r="S178" i="34"/>
  <c r="T178" i="34"/>
  <c r="X178" i="34"/>
  <c r="Y178" i="34"/>
  <c r="N179" i="34"/>
  <c r="R179" i="34"/>
  <c r="S179" i="34"/>
  <c r="T179" i="34"/>
  <c r="X179" i="34"/>
  <c r="Y179" i="34"/>
  <c r="N180" i="34"/>
  <c r="X180" i="34"/>
  <c r="Y180" i="34"/>
  <c r="N181" i="34"/>
  <c r="X181" i="34"/>
  <c r="Y181" i="34"/>
  <c r="N182" i="34"/>
  <c r="R182" i="34"/>
  <c r="S182" i="34"/>
  <c r="T182" i="34"/>
  <c r="X182" i="34"/>
  <c r="Y182" i="34"/>
  <c r="N183" i="34"/>
  <c r="R183" i="34"/>
  <c r="S183" i="34"/>
  <c r="T183" i="34"/>
  <c r="X183" i="34"/>
  <c r="Y183" i="34"/>
  <c r="N184" i="34"/>
  <c r="R184" i="34"/>
  <c r="S184" i="34"/>
  <c r="T184" i="34"/>
  <c r="X184" i="34"/>
  <c r="Y184" i="34"/>
  <c r="N185" i="34"/>
  <c r="R185" i="34"/>
  <c r="S185" i="34"/>
  <c r="T185" i="34"/>
  <c r="X185" i="34"/>
  <c r="Y185" i="34"/>
  <c r="N186" i="34"/>
  <c r="R186" i="34"/>
  <c r="S186" i="34"/>
  <c r="T186" i="34"/>
  <c r="X186" i="34"/>
  <c r="Y186" i="34"/>
  <c r="N187" i="34"/>
  <c r="R187" i="34"/>
  <c r="S187" i="34"/>
  <c r="T187" i="34"/>
  <c r="X187" i="34"/>
  <c r="Y187" i="34"/>
  <c r="N188" i="34"/>
  <c r="X188" i="34"/>
  <c r="Y188" i="34"/>
  <c r="N189" i="34"/>
  <c r="R189" i="34"/>
  <c r="S189" i="34"/>
  <c r="T189" i="34"/>
  <c r="X189" i="34"/>
  <c r="Y189" i="34"/>
  <c r="N190" i="34"/>
  <c r="R190" i="34"/>
  <c r="S190" i="34"/>
  <c r="T190" i="34"/>
  <c r="X190" i="34"/>
  <c r="Y190" i="34"/>
  <c r="N191" i="34"/>
  <c r="R191" i="34"/>
  <c r="S191" i="34"/>
  <c r="T191" i="34"/>
  <c r="X191" i="34"/>
  <c r="Y191" i="34"/>
  <c r="N192" i="34"/>
  <c r="R192" i="34"/>
  <c r="S192" i="34"/>
  <c r="T192" i="34"/>
  <c r="X192" i="34"/>
  <c r="Y192" i="34"/>
  <c r="N193" i="34"/>
  <c r="R193" i="34"/>
  <c r="S193" i="34"/>
  <c r="T193" i="34"/>
  <c r="X193" i="34"/>
  <c r="Y193" i="34"/>
  <c r="N194" i="34"/>
  <c r="R194" i="34"/>
  <c r="S194" i="34"/>
  <c r="T194" i="34"/>
  <c r="X194" i="34"/>
  <c r="Y194" i="34"/>
  <c r="N195" i="34"/>
  <c r="R195" i="34"/>
  <c r="S195" i="34"/>
  <c r="T195" i="34"/>
  <c r="X195" i="34"/>
  <c r="Y195" i="34"/>
  <c r="N196" i="34"/>
  <c r="R196" i="34"/>
  <c r="S196" i="34"/>
  <c r="T196" i="34"/>
  <c r="X196" i="34"/>
  <c r="Y196" i="34"/>
  <c r="N197" i="34"/>
  <c r="R197" i="34"/>
  <c r="S197" i="34"/>
  <c r="T197" i="34"/>
  <c r="X197" i="34"/>
  <c r="Y197" i="34"/>
  <c r="N198" i="34"/>
  <c r="R198" i="34"/>
  <c r="S198" i="34"/>
  <c r="T198" i="34"/>
  <c r="X198" i="34"/>
  <c r="Y198" i="34"/>
  <c r="N199" i="34"/>
  <c r="X199" i="34"/>
  <c r="Y199" i="34"/>
  <c r="N200" i="34"/>
  <c r="R200" i="34"/>
  <c r="S200" i="34"/>
  <c r="T200" i="34"/>
  <c r="X200" i="34"/>
  <c r="Y200" i="34"/>
  <c r="N201" i="34"/>
  <c r="R201" i="34"/>
  <c r="S201" i="34"/>
  <c r="T201" i="34"/>
  <c r="X201" i="34"/>
  <c r="Y201" i="34"/>
  <c r="N202" i="34"/>
  <c r="R202" i="34"/>
  <c r="S202" i="34"/>
  <c r="T202" i="34"/>
  <c r="X202" i="34"/>
  <c r="Y202" i="34"/>
  <c r="N203" i="34"/>
  <c r="R203" i="34"/>
  <c r="S203" i="34"/>
  <c r="T203" i="34"/>
  <c r="X203" i="34"/>
  <c r="Y203" i="34"/>
  <c r="N204" i="34"/>
  <c r="R204" i="34"/>
  <c r="S204" i="34"/>
  <c r="T204" i="34"/>
  <c r="X204" i="34"/>
  <c r="Y204" i="34"/>
  <c r="N205" i="34"/>
  <c r="R205" i="34"/>
  <c r="S205" i="34"/>
  <c r="T205" i="34"/>
  <c r="X205" i="34"/>
  <c r="Y205" i="34"/>
  <c r="N206" i="34"/>
  <c r="R206" i="34"/>
  <c r="S206" i="34"/>
  <c r="T206" i="34"/>
  <c r="X206" i="34"/>
  <c r="Y206" i="34"/>
  <c r="N207" i="34"/>
  <c r="R207" i="34"/>
  <c r="S207" i="34"/>
  <c r="T207" i="34"/>
  <c r="X207" i="34"/>
  <c r="Y207" i="34"/>
  <c r="N208" i="34"/>
  <c r="R208" i="34"/>
  <c r="S208" i="34"/>
  <c r="T208" i="34"/>
  <c r="X208" i="34"/>
  <c r="Y208" i="34"/>
  <c r="N209" i="34"/>
  <c r="R209" i="34"/>
  <c r="S209" i="34"/>
  <c r="T209" i="34"/>
  <c r="X209" i="34"/>
  <c r="Y209" i="34"/>
  <c r="N210" i="34"/>
  <c r="R210" i="34"/>
  <c r="S210" i="34"/>
  <c r="T210" i="34"/>
  <c r="X210" i="34"/>
  <c r="Y210" i="34"/>
  <c r="N211" i="34"/>
  <c r="R211" i="34"/>
  <c r="S211" i="34"/>
  <c r="T211" i="34"/>
  <c r="X211" i="34"/>
  <c r="Y211" i="34"/>
  <c r="N212" i="34"/>
  <c r="R212" i="34"/>
  <c r="S212" i="34"/>
  <c r="T212" i="34"/>
  <c r="X212" i="34"/>
  <c r="Y212" i="34"/>
  <c r="N213" i="34"/>
  <c r="R213" i="34"/>
  <c r="S213" i="34"/>
  <c r="T213" i="34"/>
  <c r="X213" i="34"/>
  <c r="Y213" i="34"/>
  <c r="N214" i="34"/>
  <c r="R214" i="34"/>
  <c r="S214" i="34"/>
  <c r="T214" i="34"/>
  <c r="X214" i="34"/>
  <c r="Y214" i="34"/>
  <c r="N215" i="34"/>
  <c r="R215" i="34"/>
  <c r="S215" i="34"/>
  <c r="T215" i="34"/>
  <c r="X215" i="34"/>
  <c r="Y215" i="34"/>
  <c r="N216" i="34"/>
  <c r="R216" i="34"/>
  <c r="S216" i="34"/>
  <c r="T216" i="34"/>
  <c r="X216" i="34"/>
  <c r="Y216" i="34"/>
  <c r="N217" i="34"/>
  <c r="R217" i="34"/>
  <c r="S217" i="34"/>
  <c r="T217" i="34"/>
  <c r="X217" i="34"/>
  <c r="Y217" i="34"/>
  <c r="N218" i="34"/>
  <c r="R218" i="34"/>
  <c r="S218" i="34"/>
  <c r="T218" i="34"/>
  <c r="X218" i="34"/>
  <c r="Y218" i="34"/>
  <c r="N219" i="34"/>
  <c r="R219" i="34"/>
  <c r="S219" i="34"/>
  <c r="T219" i="34"/>
  <c r="X219" i="34"/>
  <c r="Y219" i="34"/>
  <c r="N220" i="34"/>
  <c r="X220" i="34"/>
  <c r="Y220" i="34"/>
  <c r="N221" i="34"/>
  <c r="R221" i="34"/>
  <c r="S221" i="34"/>
  <c r="T221" i="34"/>
  <c r="X221" i="34"/>
  <c r="Y221" i="34"/>
  <c r="N222" i="34"/>
  <c r="R222" i="34"/>
  <c r="S222" i="34"/>
  <c r="T222" i="34"/>
  <c r="X222" i="34"/>
  <c r="Y222" i="34"/>
  <c r="N223" i="34"/>
  <c r="R223" i="34"/>
  <c r="S223" i="34"/>
  <c r="T223" i="34"/>
  <c r="X223" i="34"/>
  <c r="Y223" i="34"/>
  <c r="N224" i="34"/>
  <c r="R224" i="34"/>
  <c r="S224" i="34"/>
  <c r="T224" i="34"/>
  <c r="X224" i="34"/>
  <c r="Y224" i="34"/>
  <c r="N225" i="34"/>
  <c r="R225" i="34"/>
  <c r="S225" i="34"/>
  <c r="T225" i="34"/>
  <c r="X225" i="34"/>
  <c r="Y225" i="34"/>
  <c r="N226" i="34"/>
  <c r="R226" i="34"/>
  <c r="S226" i="34"/>
  <c r="T226" i="34"/>
  <c r="X226" i="34"/>
  <c r="Y226" i="34"/>
  <c r="N227" i="34"/>
  <c r="R227" i="34"/>
  <c r="S227" i="34"/>
  <c r="T227" i="34"/>
  <c r="X227" i="34"/>
  <c r="Y227" i="34"/>
  <c r="N228" i="34"/>
  <c r="R228" i="34"/>
  <c r="S228" i="34"/>
  <c r="T228" i="34"/>
  <c r="X228" i="34"/>
  <c r="Y228" i="34"/>
  <c r="N229" i="34"/>
  <c r="X229" i="34"/>
  <c r="Y229" i="34"/>
  <c r="N230" i="34"/>
  <c r="R230" i="34"/>
  <c r="S230" i="34"/>
  <c r="T230" i="34"/>
  <c r="X230" i="34"/>
  <c r="Y230" i="34"/>
  <c r="N231" i="34"/>
  <c r="R231" i="34"/>
  <c r="S231" i="34"/>
  <c r="T231" i="34"/>
  <c r="X231" i="34"/>
  <c r="Y231" i="34"/>
  <c r="N232" i="34"/>
  <c r="R232" i="34"/>
  <c r="S232" i="34"/>
  <c r="T232" i="34"/>
  <c r="X232" i="34"/>
  <c r="Y232" i="34"/>
  <c r="N233" i="34"/>
  <c r="R233" i="34"/>
  <c r="S233" i="34"/>
  <c r="T233" i="34"/>
  <c r="X233" i="34"/>
  <c r="Y233" i="34"/>
  <c r="N234" i="34"/>
  <c r="R234" i="34"/>
  <c r="S234" i="34"/>
  <c r="T234" i="34"/>
  <c r="X234" i="34"/>
  <c r="Y234" i="34"/>
  <c r="N235" i="34"/>
  <c r="R235" i="34"/>
  <c r="S235" i="34"/>
  <c r="T235" i="34"/>
  <c r="X235" i="34"/>
  <c r="Y235" i="34"/>
  <c r="N236" i="34"/>
  <c r="R236" i="34"/>
  <c r="S236" i="34"/>
  <c r="T236" i="34"/>
  <c r="X236" i="34"/>
  <c r="Y236" i="34"/>
  <c r="N237" i="34"/>
  <c r="X237" i="34"/>
  <c r="Y237" i="34"/>
  <c r="N238" i="34"/>
  <c r="X238" i="34"/>
  <c r="Y238" i="34"/>
  <c r="N239" i="34"/>
  <c r="R239" i="34"/>
  <c r="S239" i="34"/>
  <c r="T239" i="34"/>
  <c r="X239" i="34"/>
  <c r="Y239" i="34"/>
  <c r="N240" i="34"/>
  <c r="R240" i="34"/>
  <c r="S240" i="34"/>
  <c r="T240" i="34"/>
  <c r="X240" i="34"/>
  <c r="Y240" i="34"/>
  <c r="N241" i="34"/>
  <c r="R241" i="34"/>
  <c r="S241" i="34"/>
  <c r="T241" i="34"/>
  <c r="X241" i="34"/>
  <c r="Y241" i="34"/>
  <c r="N242" i="34"/>
  <c r="R242" i="34"/>
  <c r="S242" i="34"/>
  <c r="T242" i="34"/>
  <c r="X242" i="34"/>
  <c r="Y242" i="34"/>
  <c r="N243" i="34"/>
  <c r="R243" i="34"/>
  <c r="S243" i="34"/>
  <c r="T243" i="34"/>
  <c r="X243" i="34"/>
  <c r="Y243" i="34"/>
  <c r="N244" i="34"/>
  <c r="R244" i="34"/>
  <c r="S244" i="34"/>
  <c r="T244" i="34"/>
  <c r="X244" i="34"/>
  <c r="Y244" i="34"/>
  <c r="N245" i="34"/>
  <c r="R245" i="34"/>
  <c r="S245" i="34"/>
  <c r="T245" i="34"/>
  <c r="X245" i="34"/>
  <c r="Y245" i="34"/>
  <c r="N246" i="34"/>
  <c r="R246" i="34"/>
  <c r="S246" i="34"/>
  <c r="T246" i="34"/>
  <c r="X246" i="34"/>
  <c r="Y246" i="34"/>
  <c r="N247" i="34"/>
  <c r="R247" i="34"/>
  <c r="S247" i="34"/>
  <c r="T247" i="34"/>
  <c r="X247" i="34"/>
  <c r="Y247" i="34"/>
  <c r="N248" i="34"/>
  <c r="R248" i="34"/>
  <c r="S248" i="34"/>
  <c r="T248" i="34"/>
  <c r="X248" i="34"/>
  <c r="Y248" i="34"/>
  <c r="N249" i="34"/>
  <c r="R249" i="34"/>
  <c r="S249" i="34"/>
  <c r="T249" i="34"/>
  <c r="X249" i="34"/>
  <c r="Y249" i="34"/>
  <c r="N250" i="34"/>
  <c r="R250" i="34"/>
  <c r="S250" i="34"/>
  <c r="T250" i="34"/>
  <c r="X250" i="34"/>
  <c r="Y250" i="34"/>
  <c r="N251" i="34"/>
  <c r="R251" i="34"/>
  <c r="S251" i="34"/>
  <c r="T251" i="34"/>
  <c r="X251" i="34"/>
  <c r="Y251" i="34"/>
  <c r="N252" i="34"/>
  <c r="R252" i="34"/>
  <c r="S252" i="34"/>
  <c r="T252" i="34"/>
  <c r="X252" i="34"/>
  <c r="Y252" i="34"/>
  <c r="N253" i="34"/>
  <c r="R253" i="34"/>
  <c r="S253" i="34"/>
  <c r="T253" i="34"/>
  <c r="X253" i="34"/>
  <c r="Y253" i="34"/>
  <c r="N254" i="34"/>
  <c r="R254" i="34"/>
  <c r="S254" i="34"/>
  <c r="T254" i="34"/>
  <c r="X254" i="34"/>
  <c r="Y254" i="34"/>
  <c r="N255" i="34"/>
  <c r="R255" i="34"/>
  <c r="S255" i="34"/>
  <c r="T255" i="34"/>
  <c r="X255" i="34"/>
  <c r="Y255" i="34"/>
  <c r="N256" i="34"/>
  <c r="R256" i="34"/>
  <c r="S256" i="34"/>
  <c r="T256" i="34"/>
  <c r="X256" i="34"/>
  <c r="Y256" i="34"/>
  <c r="N257" i="34"/>
  <c r="R257" i="34"/>
  <c r="S257" i="34"/>
  <c r="T257" i="34"/>
  <c r="X257" i="34"/>
  <c r="Y257" i="34"/>
  <c r="N258" i="34"/>
  <c r="R258" i="34"/>
  <c r="S258" i="34"/>
  <c r="T258" i="34"/>
  <c r="X258" i="34"/>
  <c r="Y258" i="34"/>
  <c r="N259" i="34"/>
  <c r="R259" i="34"/>
  <c r="S259" i="34"/>
  <c r="T259" i="34"/>
  <c r="X259" i="34"/>
  <c r="Y259" i="34"/>
  <c r="N260" i="34"/>
  <c r="R260" i="34"/>
  <c r="S260" i="34"/>
  <c r="T260" i="34"/>
  <c r="X260" i="34"/>
  <c r="Y260" i="34"/>
  <c r="N261" i="34"/>
  <c r="R261" i="34"/>
  <c r="S261" i="34"/>
  <c r="T261" i="34"/>
  <c r="X261" i="34"/>
  <c r="Y261" i="34"/>
  <c r="N262" i="34"/>
  <c r="R262" i="34"/>
  <c r="S262" i="34"/>
  <c r="T262" i="34"/>
  <c r="X262" i="34"/>
  <c r="Y262" i="34"/>
  <c r="N263" i="34"/>
  <c r="R263" i="34"/>
  <c r="S263" i="34"/>
  <c r="T263" i="34"/>
  <c r="X263" i="34"/>
  <c r="Y263" i="34"/>
  <c r="N264" i="34"/>
  <c r="R264" i="34"/>
  <c r="S264" i="34"/>
  <c r="T264" i="34"/>
  <c r="X264" i="34"/>
  <c r="Y264" i="34"/>
  <c r="N265" i="34"/>
  <c r="R265" i="34"/>
  <c r="S265" i="34"/>
  <c r="T265" i="34"/>
  <c r="X265" i="34"/>
  <c r="Y265" i="34"/>
  <c r="N266" i="34"/>
  <c r="R266" i="34"/>
  <c r="S266" i="34"/>
  <c r="T266" i="34"/>
  <c r="X266" i="34"/>
  <c r="Y266" i="34"/>
  <c r="N267" i="34"/>
  <c r="R267" i="34"/>
  <c r="S267" i="34"/>
  <c r="T267" i="34"/>
  <c r="X267" i="34"/>
  <c r="Y267" i="34"/>
  <c r="N268" i="34"/>
  <c r="R268" i="34"/>
  <c r="S268" i="34"/>
  <c r="T268" i="34"/>
  <c r="X268" i="34"/>
  <c r="Y268" i="34"/>
  <c r="N269" i="34"/>
  <c r="R269" i="34"/>
  <c r="S269" i="34"/>
  <c r="T269" i="34"/>
  <c r="X269" i="34"/>
  <c r="Y269" i="34"/>
  <c r="N270" i="34"/>
  <c r="R270" i="34"/>
  <c r="S270" i="34"/>
  <c r="T270" i="34"/>
  <c r="X270" i="34"/>
  <c r="Y270" i="34"/>
  <c r="N271" i="34"/>
  <c r="R271" i="34"/>
  <c r="S271" i="34"/>
  <c r="T271" i="34"/>
  <c r="X271" i="34"/>
  <c r="Y271" i="34"/>
  <c r="N272" i="34"/>
  <c r="R272" i="34"/>
  <c r="S272" i="34"/>
  <c r="T272" i="34"/>
  <c r="X272" i="34"/>
  <c r="Y272" i="34"/>
  <c r="N273" i="34"/>
  <c r="R273" i="34"/>
  <c r="S273" i="34"/>
  <c r="T273" i="34"/>
  <c r="X273" i="34"/>
  <c r="Y273" i="34"/>
  <c r="N274" i="34"/>
  <c r="R274" i="34"/>
  <c r="S274" i="34"/>
  <c r="T274" i="34"/>
  <c r="X274" i="34"/>
  <c r="Y274" i="34"/>
  <c r="N275" i="34"/>
  <c r="R275" i="34"/>
  <c r="S275" i="34"/>
  <c r="T275" i="34"/>
  <c r="X275" i="34"/>
  <c r="Y275" i="34"/>
  <c r="N276" i="34"/>
  <c r="R276" i="34"/>
  <c r="S276" i="34"/>
  <c r="T276" i="34"/>
  <c r="X276" i="34"/>
  <c r="Y276" i="34"/>
  <c r="N277" i="34"/>
  <c r="R277" i="34"/>
  <c r="S277" i="34"/>
  <c r="T277" i="34"/>
  <c r="X277" i="34"/>
  <c r="Y277" i="34"/>
  <c r="N278" i="34"/>
  <c r="R278" i="34"/>
  <c r="S278" i="34"/>
  <c r="T278" i="34"/>
  <c r="X278" i="34"/>
  <c r="Y278" i="34"/>
  <c r="N279" i="34"/>
  <c r="R279" i="34"/>
  <c r="S279" i="34"/>
  <c r="T279" i="34"/>
  <c r="X279" i="34"/>
  <c r="Y279" i="34"/>
  <c r="N280" i="34"/>
  <c r="R280" i="34"/>
  <c r="S280" i="34"/>
  <c r="T280" i="34"/>
  <c r="X280" i="34"/>
  <c r="Y280" i="34"/>
  <c r="N281" i="34"/>
  <c r="R281" i="34"/>
  <c r="S281" i="34"/>
  <c r="T281" i="34"/>
  <c r="X281" i="34"/>
  <c r="Y281" i="34"/>
  <c r="N282" i="34"/>
  <c r="R282" i="34"/>
  <c r="S282" i="34"/>
  <c r="T282" i="34"/>
  <c r="X282" i="34"/>
  <c r="Y282" i="34"/>
  <c r="N283" i="34"/>
  <c r="R283" i="34"/>
  <c r="S283" i="34"/>
  <c r="T283" i="34"/>
  <c r="X283" i="34"/>
  <c r="Y283" i="34"/>
  <c r="N284" i="34"/>
  <c r="R284" i="34"/>
  <c r="S284" i="34"/>
  <c r="T284" i="34"/>
  <c r="X284" i="34"/>
  <c r="Y284" i="34"/>
  <c r="N285" i="34"/>
  <c r="R285" i="34"/>
  <c r="S285" i="34"/>
  <c r="T285" i="34"/>
  <c r="X285" i="34"/>
  <c r="Y285" i="34"/>
  <c r="N286" i="34"/>
  <c r="R286" i="34"/>
  <c r="S286" i="34"/>
  <c r="T286" i="34"/>
  <c r="X286" i="34"/>
  <c r="Y286" i="34"/>
  <c r="N287" i="34"/>
  <c r="R287" i="34"/>
  <c r="S287" i="34"/>
  <c r="T287" i="34"/>
  <c r="X287" i="34"/>
  <c r="Y287" i="34"/>
  <c r="N288" i="34"/>
  <c r="R288" i="34"/>
  <c r="S288" i="34"/>
  <c r="T288" i="34"/>
  <c r="X288" i="34"/>
  <c r="Y288" i="34"/>
  <c r="N289" i="34"/>
  <c r="R289" i="34"/>
  <c r="S289" i="34"/>
  <c r="T289" i="34"/>
  <c r="X289" i="34"/>
  <c r="Y289" i="34"/>
  <c r="N290" i="34"/>
  <c r="R290" i="34"/>
  <c r="S290" i="34"/>
  <c r="T290" i="34"/>
  <c r="X290" i="34"/>
  <c r="Y290" i="34"/>
  <c r="N291" i="34"/>
  <c r="R291" i="34"/>
  <c r="S291" i="34"/>
  <c r="T291" i="34"/>
  <c r="X291" i="34"/>
  <c r="Y291" i="34"/>
  <c r="N292" i="34"/>
  <c r="R292" i="34"/>
  <c r="S292" i="34"/>
  <c r="T292" i="34"/>
  <c r="X292" i="34"/>
  <c r="Y292" i="34"/>
  <c r="N293" i="34"/>
  <c r="R293" i="34"/>
  <c r="S293" i="34"/>
  <c r="T293" i="34"/>
  <c r="X293" i="34"/>
  <c r="Y293" i="34"/>
  <c r="N294" i="34"/>
  <c r="R294" i="34"/>
  <c r="S294" i="34"/>
  <c r="T294" i="34"/>
  <c r="X294" i="34"/>
  <c r="Y294" i="34"/>
  <c r="N295" i="34"/>
  <c r="R295" i="34"/>
  <c r="S295" i="34"/>
  <c r="T295" i="34"/>
  <c r="X295" i="34"/>
  <c r="Y295" i="34"/>
  <c r="N296" i="34"/>
  <c r="R296" i="34"/>
  <c r="S296" i="34"/>
  <c r="T296" i="34"/>
  <c r="X296" i="34"/>
  <c r="Y296" i="34"/>
  <c r="N297" i="34"/>
  <c r="R297" i="34"/>
  <c r="S297" i="34"/>
  <c r="T297" i="34"/>
  <c r="X297" i="34"/>
  <c r="Y297" i="34"/>
  <c r="N298" i="34"/>
  <c r="R298" i="34"/>
  <c r="S298" i="34"/>
  <c r="T298" i="34"/>
  <c r="X298" i="34"/>
  <c r="Y298" i="34"/>
  <c r="N299" i="34"/>
  <c r="R299" i="34"/>
  <c r="S299" i="34"/>
  <c r="T299" i="34"/>
  <c r="X299" i="34"/>
  <c r="Y299" i="34"/>
  <c r="N300" i="34"/>
  <c r="R300" i="34"/>
  <c r="S300" i="34"/>
  <c r="T300" i="34"/>
  <c r="X300" i="34"/>
  <c r="Y300" i="34"/>
  <c r="N301" i="34"/>
  <c r="R301" i="34"/>
  <c r="S301" i="34"/>
  <c r="T301" i="34"/>
  <c r="X301" i="34"/>
  <c r="Y301" i="34"/>
  <c r="N302" i="34"/>
  <c r="R302" i="34"/>
  <c r="S302" i="34"/>
  <c r="T302" i="34"/>
  <c r="X302" i="34"/>
  <c r="Y302" i="34"/>
  <c r="N303" i="34"/>
  <c r="R303" i="34"/>
  <c r="S303" i="34"/>
  <c r="T303" i="34"/>
  <c r="X303" i="34"/>
  <c r="Y303" i="34"/>
  <c r="N304" i="34"/>
  <c r="R304" i="34"/>
  <c r="S304" i="34"/>
  <c r="T304" i="34"/>
  <c r="X304" i="34"/>
  <c r="Y304" i="34"/>
  <c r="N305" i="34"/>
  <c r="R305" i="34"/>
  <c r="S305" i="34"/>
  <c r="T305" i="34"/>
  <c r="X305" i="34"/>
  <c r="Y305" i="34"/>
  <c r="N306" i="34"/>
  <c r="R306" i="34"/>
  <c r="S306" i="34"/>
  <c r="T306" i="34"/>
  <c r="X306" i="34"/>
  <c r="Y306" i="34"/>
  <c r="N307" i="34"/>
  <c r="R307" i="34"/>
  <c r="S307" i="34"/>
  <c r="T307" i="34"/>
  <c r="X307" i="34"/>
  <c r="Y307" i="34"/>
  <c r="N308" i="34"/>
  <c r="R308" i="34"/>
  <c r="S308" i="34"/>
  <c r="T308" i="34"/>
  <c r="X308" i="34"/>
  <c r="Y308" i="34"/>
  <c r="N309" i="34"/>
  <c r="R309" i="34"/>
  <c r="S309" i="34"/>
  <c r="T309" i="34"/>
  <c r="X309" i="34"/>
  <c r="Y309" i="34"/>
  <c r="N310" i="34"/>
  <c r="R310" i="34"/>
  <c r="S310" i="34"/>
  <c r="T310" i="34"/>
  <c r="X310" i="34"/>
  <c r="Y310" i="34"/>
  <c r="N311" i="34"/>
  <c r="R311" i="34"/>
  <c r="S311" i="34"/>
  <c r="T311" i="34"/>
  <c r="X311" i="34"/>
  <c r="Y311" i="34"/>
  <c r="N312" i="34"/>
  <c r="R312" i="34"/>
  <c r="S312" i="34"/>
  <c r="T312" i="34"/>
  <c r="X312" i="34"/>
  <c r="Y312" i="34"/>
  <c r="N313" i="34"/>
  <c r="R313" i="34"/>
  <c r="S313" i="34"/>
  <c r="T313" i="34"/>
  <c r="X313" i="34"/>
  <c r="Y313" i="34"/>
  <c r="N314" i="34"/>
  <c r="R314" i="34"/>
  <c r="S314" i="34"/>
  <c r="T314" i="34"/>
  <c r="X314" i="34"/>
  <c r="Y314" i="34"/>
  <c r="N315" i="34"/>
  <c r="R315" i="34"/>
  <c r="S315" i="34"/>
  <c r="T315" i="34"/>
  <c r="X315" i="34"/>
  <c r="Y315" i="34"/>
  <c r="N316" i="34"/>
  <c r="R316" i="34"/>
  <c r="S316" i="34"/>
  <c r="T316" i="34"/>
  <c r="X316" i="34"/>
  <c r="Y316" i="34"/>
  <c r="N317" i="34"/>
  <c r="R317" i="34"/>
  <c r="S317" i="34"/>
  <c r="T317" i="34"/>
  <c r="X317" i="34"/>
  <c r="Y317" i="34"/>
  <c r="N318" i="34"/>
  <c r="R318" i="34"/>
  <c r="S318" i="34"/>
  <c r="T318" i="34"/>
  <c r="X318" i="34"/>
  <c r="Y318" i="34"/>
  <c r="N319" i="34"/>
  <c r="R319" i="34"/>
  <c r="S319" i="34"/>
  <c r="T319" i="34"/>
  <c r="X319" i="34"/>
  <c r="Y319" i="34"/>
  <c r="N320" i="34"/>
  <c r="R320" i="34"/>
  <c r="S320" i="34"/>
  <c r="T320" i="34"/>
  <c r="X320" i="34"/>
  <c r="Y320" i="34"/>
  <c r="N321" i="34"/>
  <c r="R321" i="34"/>
  <c r="S321" i="34"/>
  <c r="T321" i="34"/>
  <c r="X321" i="34"/>
  <c r="Y321" i="34"/>
  <c r="N322" i="34"/>
  <c r="R322" i="34"/>
  <c r="S322" i="34"/>
  <c r="T322" i="34"/>
  <c r="X322" i="34"/>
  <c r="Y322" i="34"/>
  <c r="N323" i="34"/>
  <c r="R323" i="34"/>
  <c r="S323" i="34"/>
  <c r="T323" i="34"/>
  <c r="X323" i="34"/>
  <c r="Y323" i="34"/>
  <c r="N324" i="34"/>
  <c r="R324" i="34"/>
  <c r="S324" i="34"/>
  <c r="T324" i="34"/>
  <c r="X324" i="34"/>
  <c r="Y324" i="34"/>
  <c r="N325" i="34"/>
  <c r="R325" i="34"/>
  <c r="S325" i="34"/>
  <c r="T325" i="34"/>
  <c r="X325" i="34"/>
  <c r="Y325" i="34"/>
  <c r="C245" i="34"/>
  <c r="C246" i="34"/>
  <c r="C247" i="34"/>
  <c r="C248" i="34"/>
  <c r="C249" i="34"/>
  <c r="C250" i="34"/>
  <c r="C251" i="34"/>
  <c r="C252" i="34"/>
  <c r="C253" i="34"/>
  <c r="C254" i="34"/>
  <c r="C255" i="34"/>
  <c r="C256" i="34"/>
  <c r="C257" i="34"/>
  <c r="C258" i="34"/>
  <c r="C259" i="34"/>
  <c r="C260" i="34"/>
  <c r="C261" i="34"/>
  <c r="C262" i="34"/>
  <c r="C263" i="34"/>
  <c r="C264" i="34"/>
  <c r="C265" i="34"/>
  <c r="C266" i="34"/>
  <c r="C267" i="34"/>
  <c r="C268" i="34"/>
  <c r="C269" i="34"/>
  <c r="C270" i="34"/>
  <c r="C271" i="34"/>
  <c r="C272" i="34"/>
  <c r="C273" i="34"/>
  <c r="C274" i="34"/>
  <c r="C275" i="34"/>
  <c r="C276" i="34"/>
  <c r="C277" i="34"/>
  <c r="C278" i="34"/>
  <c r="C279" i="34"/>
  <c r="C280" i="34"/>
  <c r="C281" i="34"/>
  <c r="C282" i="34"/>
  <c r="C283" i="34"/>
  <c r="C284" i="34"/>
  <c r="C285" i="34"/>
  <c r="C286" i="34"/>
  <c r="C287" i="34"/>
  <c r="C288" i="34"/>
  <c r="C289" i="34"/>
  <c r="C290" i="34"/>
  <c r="C291" i="34"/>
  <c r="C292" i="34"/>
  <c r="C293" i="34"/>
  <c r="C294" i="34"/>
  <c r="C295" i="34"/>
  <c r="C296" i="34"/>
  <c r="C297" i="34"/>
  <c r="C298" i="34"/>
  <c r="C299" i="34"/>
  <c r="C300" i="34"/>
  <c r="C301" i="34"/>
  <c r="C302" i="34"/>
  <c r="C303" i="34"/>
  <c r="C304" i="34"/>
  <c r="C305" i="34"/>
  <c r="C306" i="34"/>
  <c r="C307" i="34"/>
  <c r="C308" i="34"/>
  <c r="C309" i="34"/>
  <c r="C310" i="34"/>
  <c r="C311" i="34"/>
  <c r="C312" i="34"/>
  <c r="C313" i="34"/>
  <c r="C314" i="34"/>
  <c r="C315" i="34"/>
  <c r="C316" i="34"/>
  <c r="C317" i="34"/>
  <c r="C318" i="34"/>
  <c r="C319" i="34"/>
  <c r="C320" i="34"/>
  <c r="C321" i="34"/>
  <c r="C322" i="34"/>
  <c r="C323" i="34"/>
  <c r="N25" i="34" l="1"/>
  <c r="R25" i="34"/>
  <c r="S25" i="34"/>
  <c r="T25" i="34"/>
  <c r="X25" i="34"/>
  <c r="Y25" i="34"/>
  <c r="K323" i="34"/>
  <c r="K322" i="34"/>
  <c r="K321" i="34"/>
  <c r="K320" i="34"/>
  <c r="K319" i="34"/>
  <c r="K318" i="34"/>
  <c r="K317" i="34"/>
  <c r="K316" i="34"/>
  <c r="K315" i="34"/>
  <c r="K314" i="34"/>
  <c r="K313" i="34"/>
  <c r="K312" i="34"/>
  <c r="K311" i="34"/>
  <c r="K310" i="34"/>
  <c r="K309" i="34"/>
  <c r="K308" i="34"/>
  <c r="K307" i="34"/>
  <c r="K306" i="34"/>
  <c r="K305" i="34"/>
  <c r="K304" i="34"/>
  <c r="K303" i="34"/>
  <c r="K302" i="34"/>
  <c r="K301" i="34"/>
  <c r="K300" i="34"/>
  <c r="K299" i="34"/>
  <c r="B322" i="34"/>
  <c r="B321" i="34"/>
  <c r="B320" i="34"/>
  <c r="B319" i="34"/>
  <c r="B318" i="34"/>
  <c r="B317" i="34"/>
  <c r="B316" i="34"/>
  <c r="B315" i="34"/>
  <c r="B314" i="34"/>
  <c r="B313" i="34"/>
  <c r="B312" i="34"/>
  <c r="B311" i="34"/>
  <c r="B310" i="34"/>
  <c r="B309" i="34"/>
  <c r="B308" i="34"/>
  <c r="B307" i="34"/>
  <c r="B306" i="34"/>
  <c r="B305" i="34"/>
  <c r="B304" i="34"/>
  <c r="B303" i="34"/>
  <c r="B302" i="34"/>
  <c r="B301" i="34"/>
  <c r="B300" i="34"/>
  <c r="B299" i="34"/>
  <c r="B323" i="34"/>
  <c r="K274" i="34"/>
  <c r="K275" i="34"/>
  <c r="K276" i="34"/>
  <c r="K277" i="34"/>
  <c r="K278" i="34"/>
  <c r="K279" i="34"/>
  <c r="K280" i="34"/>
  <c r="K281" i="34"/>
  <c r="K282" i="34"/>
  <c r="K283" i="34"/>
  <c r="K284" i="34"/>
  <c r="K285" i="34"/>
  <c r="K286" i="34"/>
  <c r="K287" i="34"/>
  <c r="K288" i="34"/>
  <c r="K289" i="34"/>
  <c r="K290" i="34"/>
  <c r="K291" i="34"/>
  <c r="K292" i="34"/>
  <c r="K293" i="34"/>
  <c r="K294" i="34"/>
  <c r="K295" i="34"/>
  <c r="K296" i="34"/>
  <c r="K297" i="34"/>
  <c r="K298" i="34"/>
  <c r="K272" i="34"/>
  <c r="K273" i="34"/>
  <c r="R17" i="60"/>
  <c r="R18" i="60"/>
  <c r="P18" i="60"/>
  <c r="P17" i="60"/>
  <c r="K246" i="34"/>
  <c r="K247" i="34"/>
  <c r="K248" i="34"/>
  <c r="K249" i="34"/>
  <c r="K250" i="34"/>
  <c r="K251" i="34"/>
  <c r="K252" i="34"/>
  <c r="K253" i="34"/>
  <c r="K254" i="34"/>
  <c r="K255" i="34"/>
  <c r="K256" i="34"/>
  <c r="K257" i="34"/>
  <c r="K258" i="34"/>
  <c r="K259" i="34"/>
  <c r="K260" i="34"/>
  <c r="K261" i="34"/>
  <c r="K262" i="34"/>
  <c r="K263" i="34"/>
  <c r="K264" i="34"/>
  <c r="K265" i="34"/>
  <c r="K266" i="34"/>
  <c r="K267" i="34"/>
  <c r="K268" i="34"/>
  <c r="K269" i="34"/>
  <c r="K270" i="34"/>
  <c r="K271" i="34"/>
  <c r="K245" i="34"/>
  <c r="B264" i="34"/>
  <c r="B263" i="34"/>
  <c r="B262" i="34"/>
  <c r="B261" i="34"/>
  <c r="B260" i="34"/>
  <c r="B259" i="34"/>
  <c r="B258" i="34"/>
  <c r="B257" i="34"/>
  <c r="B256" i="34"/>
  <c r="B255" i="34"/>
  <c r="B254" i="34"/>
  <c r="B253" i="34"/>
  <c r="B252" i="34"/>
  <c r="B251" i="34"/>
  <c r="B250" i="34"/>
  <c r="B249" i="34"/>
  <c r="B248" i="34"/>
  <c r="B247" i="34"/>
  <c r="B246" i="34"/>
  <c r="B245" i="34"/>
  <c r="B283" i="34"/>
  <c r="B282" i="34"/>
  <c r="B281" i="34"/>
  <c r="B280" i="34"/>
  <c r="B279" i="34"/>
  <c r="B278" i="34"/>
  <c r="B277" i="34"/>
  <c r="B276" i="34"/>
  <c r="B275" i="34"/>
  <c r="B274" i="34"/>
  <c r="B273" i="34"/>
  <c r="B272" i="34"/>
  <c r="B271" i="34"/>
  <c r="B270" i="34"/>
  <c r="B269" i="34"/>
  <c r="B268" i="34"/>
  <c r="B267" i="34"/>
  <c r="B266" i="34"/>
  <c r="B265" i="34"/>
  <c r="X28" i="60"/>
  <c r="P19" i="60"/>
  <c r="R20" i="60"/>
  <c r="X14" i="60"/>
  <c r="P21" i="60"/>
  <c r="R21" i="60" s="1"/>
  <c r="R22" i="60"/>
  <c r="C21" i="60" s="1"/>
  <c r="R23" i="60"/>
  <c r="C23" i="60" s="1"/>
  <c r="R24" i="60"/>
  <c r="C24" i="60" s="1"/>
  <c r="R16" i="60"/>
  <c r="C16" i="60" s="1"/>
  <c r="R9" i="60"/>
  <c r="C9" i="60" s="1"/>
  <c r="P30" i="60"/>
  <c r="P31" i="60"/>
  <c r="P29" i="60"/>
  <c r="R29" i="60" s="1"/>
  <c r="C29" i="60" s="1"/>
  <c r="P8" i="60"/>
  <c r="X9" i="60"/>
  <c r="R10" i="60"/>
  <c r="C10" i="60" s="1"/>
  <c r="X10" i="60"/>
  <c r="R11" i="60"/>
  <c r="C11" i="60" s="1"/>
  <c r="X11" i="60"/>
  <c r="R12" i="60"/>
  <c r="C12" i="60" s="1"/>
  <c r="X12" i="60"/>
  <c r="R13" i="60"/>
  <c r="C13" i="60" s="1"/>
  <c r="X13" i="60"/>
  <c r="R14" i="60"/>
  <c r="C14" i="60" s="1"/>
  <c r="R15" i="60"/>
  <c r="C15" i="60" s="1"/>
  <c r="X15" i="60"/>
  <c r="X16" i="60"/>
  <c r="R19" i="60"/>
  <c r="X19" i="60"/>
  <c r="X21" i="60"/>
  <c r="X23" i="60"/>
  <c r="X24" i="60"/>
  <c r="R25" i="60"/>
  <c r="C25" i="60" s="1"/>
  <c r="X25" i="60"/>
  <c r="R26" i="60"/>
  <c r="C26" i="60" s="1"/>
  <c r="X26" i="60"/>
  <c r="R27" i="60"/>
  <c r="X27" i="60"/>
  <c r="R28" i="60"/>
  <c r="C28" i="60" s="1"/>
  <c r="X29" i="60"/>
  <c r="R30" i="60"/>
  <c r="C30" i="60" s="1"/>
  <c r="X30" i="60"/>
  <c r="R31" i="60"/>
  <c r="C31" i="60" s="1"/>
  <c r="X31" i="60"/>
  <c r="R32" i="60"/>
  <c r="C32" i="60" s="1"/>
  <c r="X32" i="60"/>
  <c r="R33" i="60"/>
  <c r="C33" i="60" s="1"/>
  <c r="X33" i="60"/>
  <c r="R34" i="60"/>
  <c r="C34" i="60" s="1"/>
  <c r="X34" i="60"/>
  <c r="R35" i="60"/>
  <c r="C35" i="60" s="1"/>
  <c r="X35" i="60"/>
  <c r="X8" i="60"/>
  <c r="C27" i="60"/>
  <c r="F60" i="55"/>
  <c r="A268" i="34" l="1"/>
  <c r="Z268" i="34"/>
  <c r="W268" i="34"/>
  <c r="A245" i="34"/>
  <c r="Z245" i="34"/>
  <c r="W245" i="34"/>
  <c r="A265" i="34"/>
  <c r="Z265" i="34"/>
  <c r="W265" i="34"/>
  <c r="A273" i="34"/>
  <c r="Z273" i="34"/>
  <c r="W273" i="34"/>
  <c r="A281" i="34"/>
  <c r="Z281" i="34"/>
  <c r="W281" i="34"/>
  <c r="A250" i="34"/>
  <c r="Z250" i="34"/>
  <c r="W250" i="34"/>
  <c r="A258" i="34"/>
  <c r="Z258" i="34"/>
  <c r="W258" i="34"/>
  <c r="A266" i="34"/>
  <c r="Z266" i="34"/>
  <c r="W266" i="34"/>
  <c r="A270" i="34"/>
  <c r="Z270" i="34"/>
  <c r="W270" i="34"/>
  <c r="A274" i="34"/>
  <c r="Z274" i="34"/>
  <c r="W274" i="34"/>
  <c r="A278" i="34"/>
  <c r="Z278" i="34"/>
  <c r="W278" i="34"/>
  <c r="A282" i="34"/>
  <c r="Z282" i="34"/>
  <c r="W282" i="34"/>
  <c r="A247" i="34"/>
  <c r="Z247" i="34"/>
  <c r="W247" i="34"/>
  <c r="A251" i="34"/>
  <c r="Z251" i="34"/>
  <c r="W251" i="34"/>
  <c r="A255" i="34"/>
  <c r="Z255" i="34"/>
  <c r="W255" i="34"/>
  <c r="A259" i="34"/>
  <c r="Z259" i="34"/>
  <c r="W259" i="34"/>
  <c r="A263" i="34"/>
  <c r="Z263" i="34"/>
  <c r="W263" i="34"/>
  <c r="Z323" i="34"/>
  <c r="W323" i="34"/>
  <c r="A302" i="34"/>
  <c r="Z302" i="34"/>
  <c r="W302" i="34"/>
  <c r="A306" i="34"/>
  <c r="Z306" i="34"/>
  <c r="W306" i="34"/>
  <c r="A310" i="34"/>
  <c r="Z310" i="34"/>
  <c r="W310" i="34"/>
  <c r="A314" i="34"/>
  <c r="Z314" i="34"/>
  <c r="W314" i="34"/>
  <c r="Z318" i="34"/>
  <c r="W318" i="34"/>
  <c r="Z322" i="34"/>
  <c r="W322" i="34"/>
  <c r="A276" i="34"/>
  <c r="Z276" i="34"/>
  <c r="W276" i="34"/>
  <c r="A267" i="34"/>
  <c r="Z267" i="34"/>
  <c r="W267" i="34"/>
  <c r="A271" i="34"/>
  <c r="Z271" i="34"/>
  <c r="W271" i="34"/>
  <c r="A275" i="34"/>
  <c r="Z275" i="34"/>
  <c r="W275" i="34"/>
  <c r="A279" i="34"/>
  <c r="Z279" i="34"/>
  <c r="W279" i="34"/>
  <c r="A283" i="34"/>
  <c r="Z283" i="34"/>
  <c r="W283" i="34"/>
  <c r="A248" i="34"/>
  <c r="Z248" i="34"/>
  <c r="W248" i="34"/>
  <c r="A252" i="34"/>
  <c r="Z252" i="34"/>
  <c r="W252" i="34"/>
  <c r="A256" i="34"/>
  <c r="Z256" i="34"/>
  <c r="W256" i="34"/>
  <c r="A260" i="34"/>
  <c r="Z260" i="34"/>
  <c r="W260" i="34"/>
  <c r="A264" i="34"/>
  <c r="Z264" i="34"/>
  <c r="W264" i="34"/>
  <c r="A299" i="34"/>
  <c r="Z299" i="34"/>
  <c r="W299" i="34"/>
  <c r="A303" i="34"/>
  <c r="Z303" i="34"/>
  <c r="W303" i="34"/>
  <c r="A307" i="34"/>
  <c r="Z307" i="34"/>
  <c r="W307" i="34"/>
  <c r="A311" i="34"/>
  <c r="Z311" i="34"/>
  <c r="W311" i="34"/>
  <c r="A315" i="34"/>
  <c r="Z315" i="34"/>
  <c r="W315" i="34"/>
  <c r="Z319" i="34"/>
  <c r="W319" i="34"/>
  <c r="A272" i="34"/>
  <c r="Z272" i="34"/>
  <c r="W272" i="34"/>
  <c r="A249" i="34"/>
  <c r="Z249" i="34"/>
  <c r="W249" i="34"/>
  <c r="A253" i="34"/>
  <c r="Z253" i="34"/>
  <c r="W253" i="34"/>
  <c r="A257" i="34"/>
  <c r="Z257" i="34"/>
  <c r="W257" i="34"/>
  <c r="A261" i="34"/>
  <c r="Z261" i="34"/>
  <c r="W261" i="34"/>
  <c r="A300" i="34"/>
  <c r="Z300" i="34"/>
  <c r="W300" i="34"/>
  <c r="A304" i="34"/>
  <c r="Z304" i="34"/>
  <c r="W304" i="34"/>
  <c r="A308" i="34"/>
  <c r="Z308" i="34"/>
  <c r="W308" i="34"/>
  <c r="A312" i="34"/>
  <c r="Z312" i="34"/>
  <c r="W312" i="34"/>
  <c r="A316" i="34"/>
  <c r="Z316" i="34"/>
  <c r="W316" i="34"/>
  <c r="Z320" i="34"/>
  <c r="W320" i="34"/>
  <c r="A280" i="34"/>
  <c r="Z280" i="34"/>
  <c r="W280" i="34"/>
  <c r="A269" i="34"/>
  <c r="Z269" i="34"/>
  <c r="W269" i="34"/>
  <c r="A277" i="34"/>
  <c r="Z277" i="34"/>
  <c r="W277" i="34"/>
  <c r="A246" i="34"/>
  <c r="Z246" i="34"/>
  <c r="W246" i="34"/>
  <c r="A254" i="34"/>
  <c r="Z254" i="34"/>
  <c r="W254" i="34"/>
  <c r="A262" i="34"/>
  <c r="Z262" i="34"/>
  <c r="W262" i="34"/>
  <c r="A301" i="34"/>
  <c r="Z301" i="34"/>
  <c r="W301" i="34"/>
  <c r="A305" i="34"/>
  <c r="Z305" i="34"/>
  <c r="W305" i="34"/>
  <c r="A309" i="34"/>
  <c r="Z309" i="34"/>
  <c r="W309" i="34"/>
  <c r="A313" i="34"/>
  <c r="Z313" i="34"/>
  <c r="W313" i="34"/>
  <c r="A317" i="34"/>
  <c r="Z317" i="34"/>
  <c r="W317" i="34"/>
  <c r="Z321" i="34"/>
  <c r="W321" i="34"/>
  <c r="A321" i="34"/>
  <c r="A323" i="34"/>
  <c r="A318" i="34"/>
  <c r="A322" i="34"/>
  <c r="A319" i="34"/>
  <c r="A320" i="34"/>
  <c r="C19" i="60"/>
  <c r="C74" i="34" l="1"/>
  <c r="C124" i="34"/>
  <c r="C242" i="34"/>
  <c r="K214" i="34"/>
  <c r="K213" i="34"/>
  <c r="C64" i="34"/>
  <c r="B64" i="34" s="1"/>
  <c r="C100" i="34"/>
  <c r="B100" i="34" s="1"/>
  <c r="C110" i="34"/>
  <c r="B110" i="34" s="1"/>
  <c r="C123" i="34"/>
  <c r="B123" i="34" s="1"/>
  <c r="C151" i="34"/>
  <c r="B151" i="34" s="1"/>
  <c r="C157" i="34"/>
  <c r="B157" i="34" s="1"/>
  <c r="C173" i="34"/>
  <c r="B173" i="34" s="1"/>
  <c r="C209" i="34"/>
  <c r="B209" i="34" s="1"/>
  <c r="C129" i="34"/>
  <c r="B129" i="34" s="1"/>
  <c r="C138" i="34"/>
  <c r="B138" i="34" s="1"/>
  <c r="C141" i="34"/>
  <c r="B141" i="34" s="1"/>
  <c r="C223" i="34"/>
  <c r="B223" i="34" s="1"/>
  <c r="C187" i="34"/>
  <c r="B187" i="34" s="1"/>
  <c r="C228" i="34"/>
  <c r="B228" i="34" s="1"/>
  <c r="A138" i="34" l="1"/>
  <c r="Z138" i="34"/>
  <c r="W138" i="34"/>
  <c r="A187" i="34"/>
  <c r="W187" i="34"/>
  <c r="Z187" i="34"/>
  <c r="A151" i="34"/>
  <c r="W151" i="34"/>
  <c r="Z151" i="34"/>
  <c r="A64" i="34"/>
  <c r="Z64" i="34"/>
  <c r="W64" i="34"/>
  <c r="A223" i="34"/>
  <c r="Z223" i="34"/>
  <c r="W223" i="34"/>
  <c r="A123" i="34"/>
  <c r="W123" i="34"/>
  <c r="Z123" i="34"/>
  <c r="A141" i="34"/>
  <c r="W141" i="34"/>
  <c r="Z141" i="34"/>
  <c r="A173" i="34"/>
  <c r="W173" i="34"/>
  <c r="Z173" i="34"/>
  <c r="A110" i="34"/>
  <c r="Z110" i="34"/>
  <c r="W110" i="34"/>
  <c r="A157" i="34"/>
  <c r="W157" i="34"/>
  <c r="Z157" i="34"/>
  <c r="A100" i="34"/>
  <c r="W100" i="34"/>
  <c r="Z100" i="34"/>
  <c r="A129" i="34"/>
  <c r="W129" i="34"/>
  <c r="Z129" i="34"/>
  <c r="A228" i="34"/>
  <c r="Z228" i="34"/>
  <c r="W228" i="34"/>
  <c r="A209" i="34"/>
  <c r="Z209" i="34"/>
  <c r="W209" i="34"/>
  <c r="K226" i="34"/>
  <c r="K221" i="34"/>
  <c r="K218" i="34"/>
  <c r="K217" i="34"/>
  <c r="K216" i="34"/>
  <c r="K215" i="34"/>
  <c r="K207" i="34"/>
  <c r="K206" i="34"/>
  <c r="K200" i="34"/>
  <c r="K197" i="34"/>
  <c r="K196" i="34"/>
  <c r="K185" i="34"/>
  <c r="K184" i="34"/>
  <c r="K183" i="34"/>
  <c r="K182" i="34"/>
  <c r="K171" i="34"/>
  <c r="K170" i="34"/>
  <c r="K155" i="34"/>
  <c r="K149" i="34"/>
  <c r="K145" i="34"/>
  <c r="K139" i="34"/>
  <c r="K136" i="34"/>
  <c r="K127" i="34"/>
  <c r="K126" i="34"/>
  <c r="K121" i="34"/>
  <c r="K120" i="34"/>
  <c r="K118" i="34"/>
  <c r="K108" i="34"/>
  <c r="K98" i="34"/>
  <c r="K97" i="34"/>
  <c r="K85" i="34"/>
  <c r="K79" i="34"/>
  <c r="K72" i="34"/>
  <c r="K62" i="34"/>
  <c r="K59" i="34"/>
  <c r="K58" i="34"/>
  <c r="K57" i="34"/>
  <c r="K55" i="34"/>
  <c r="K53" i="34"/>
  <c r="K52" i="34"/>
  <c r="C52" i="34"/>
  <c r="C53" i="34"/>
  <c r="C54" i="34"/>
  <c r="C55" i="34"/>
  <c r="C56" i="34"/>
  <c r="C57" i="34"/>
  <c r="C58" i="34"/>
  <c r="C59" i="34"/>
  <c r="C60" i="34"/>
  <c r="C62" i="34"/>
  <c r="C63" i="34"/>
  <c r="C72" i="34"/>
  <c r="C73" i="34"/>
  <c r="C79" i="34"/>
  <c r="C80" i="34"/>
  <c r="C85" i="34"/>
  <c r="C86" i="34"/>
  <c r="C97" i="34"/>
  <c r="C98" i="34"/>
  <c r="C99" i="34"/>
  <c r="C108" i="34"/>
  <c r="C109" i="34"/>
  <c r="C118" i="34"/>
  <c r="C119" i="34"/>
  <c r="C120" i="34"/>
  <c r="C121" i="34"/>
  <c r="C122" i="34"/>
  <c r="C126" i="34"/>
  <c r="C127" i="34"/>
  <c r="C128" i="34"/>
  <c r="C136" i="34"/>
  <c r="C137" i="34"/>
  <c r="C139" i="34"/>
  <c r="C140" i="34"/>
  <c r="C145" i="34"/>
  <c r="C146" i="34"/>
  <c r="C149" i="34"/>
  <c r="C150" i="34"/>
  <c r="C155" i="34"/>
  <c r="C156" i="34"/>
  <c r="C170" i="34"/>
  <c r="C171" i="34"/>
  <c r="C172" i="34"/>
  <c r="C182" i="34"/>
  <c r="C183" i="34"/>
  <c r="C184" i="34"/>
  <c r="C185" i="34"/>
  <c r="C186" i="34"/>
  <c r="C196" i="34"/>
  <c r="C197" i="34"/>
  <c r="C198" i="34"/>
  <c r="C200" i="34"/>
  <c r="C201" i="34"/>
  <c r="C206" i="34"/>
  <c r="C207" i="34"/>
  <c r="C208" i="34"/>
  <c r="C215" i="34"/>
  <c r="C216" i="34"/>
  <c r="C217" i="34"/>
  <c r="C218" i="34"/>
  <c r="C219" i="34"/>
  <c r="C221" i="34"/>
  <c r="C222" i="34"/>
  <c r="C226" i="34"/>
  <c r="C227" i="34"/>
  <c r="D7" i="56" l="1"/>
  <c r="N24" i="34"/>
  <c r="R24" i="34"/>
  <c r="S24" i="34"/>
  <c r="T24" i="34"/>
  <c r="X24" i="34"/>
  <c r="Y24" i="34"/>
  <c r="C116" i="34"/>
  <c r="B116" i="34" s="1"/>
  <c r="C205" i="34"/>
  <c r="B205" i="34" s="1"/>
  <c r="C195" i="34"/>
  <c r="B195" i="34" s="1"/>
  <c r="C236" i="34"/>
  <c r="B236" i="34" s="1"/>
  <c r="C177" i="34"/>
  <c r="B177" i="34" s="1"/>
  <c r="C168" i="34"/>
  <c r="B168" i="34" s="1"/>
  <c r="C162" i="34"/>
  <c r="B162" i="34" s="1"/>
  <c r="C135" i="34"/>
  <c r="B135" i="34" s="1"/>
  <c r="C132" i="34"/>
  <c r="B132" i="34" s="1"/>
  <c r="C94" i="34"/>
  <c r="B94" i="34" s="1"/>
  <c r="C83" i="34"/>
  <c r="B83" i="34" s="1"/>
  <c r="C113" i="34"/>
  <c r="B113" i="34" s="1"/>
  <c r="C107" i="34"/>
  <c r="B107" i="34" s="1"/>
  <c r="C69" i="34"/>
  <c r="B69" i="34" s="1"/>
  <c r="C47" i="34"/>
  <c r="B47" i="34" s="1"/>
  <c r="C44" i="34"/>
  <c r="B44" i="34" s="1"/>
  <c r="C40" i="34"/>
  <c r="B40" i="34" s="1"/>
  <c r="C36" i="34"/>
  <c r="B36" i="34" s="1"/>
  <c r="A162" i="34" l="1"/>
  <c r="Z162" i="34"/>
  <c r="W162" i="34"/>
  <c r="A69" i="34"/>
  <c r="W69" i="34"/>
  <c r="Z69" i="34"/>
  <c r="A168" i="34"/>
  <c r="Z168" i="34"/>
  <c r="W168" i="34"/>
  <c r="A40" i="34"/>
  <c r="Z40" i="34"/>
  <c r="W40" i="34"/>
  <c r="A107" i="34"/>
  <c r="W107" i="34"/>
  <c r="Z107" i="34"/>
  <c r="A132" i="34"/>
  <c r="Z132" i="34"/>
  <c r="W132" i="34"/>
  <c r="A177" i="34"/>
  <c r="W177" i="34"/>
  <c r="Z177" i="34"/>
  <c r="A116" i="34"/>
  <c r="Z116" i="34"/>
  <c r="W116" i="34"/>
  <c r="A47" i="34"/>
  <c r="W47" i="34"/>
  <c r="Z47" i="34"/>
  <c r="A195" i="34"/>
  <c r="Z195" i="34"/>
  <c r="W195" i="34"/>
  <c r="A36" i="34"/>
  <c r="Z36" i="34"/>
  <c r="W36" i="34"/>
  <c r="A94" i="34"/>
  <c r="W94" i="34"/>
  <c r="Z94" i="34"/>
  <c r="A205" i="34"/>
  <c r="Z205" i="34"/>
  <c r="W205" i="34"/>
  <c r="A44" i="34"/>
  <c r="Z44" i="34"/>
  <c r="W44" i="34"/>
  <c r="A113" i="34"/>
  <c r="W113" i="34"/>
  <c r="Z113" i="34"/>
  <c r="A135" i="34"/>
  <c r="W135" i="34"/>
  <c r="Z135" i="34"/>
  <c r="A236" i="34"/>
  <c r="Z236" i="34"/>
  <c r="W236" i="34"/>
  <c r="A83" i="34"/>
  <c r="Z83" i="34"/>
  <c r="W83" i="34"/>
  <c r="F32" i="56"/>
  <c r="F33" i="56"/>
  <c r="A10" i="56"/>
  <c r="H33" i="56"/>
  <c r="C101" i="34"/>
  <c r="C102" i="34"/>
  <c r="C103" i="34"/>
  <c r="C142" i="34"/>
  <c r="C180" i="34"/>
  <c r="C188" i="34"/>
  <c r="C125" i="34"/>
  <c r="C169" i="34"/>
  <c r="C181" i="34"/>
  <c r="C199" i="34"/>
  <c r="C220" i="34"/>
  <c r="C229" i="34"/>
  <c r="C237" i="34"/>
  <c r="C238" i="34"/>
  <c r="K203" i="34" l="1"/>
  <c r="K202" i="34"/>
  <c r="K193" i="34"/>
  <c r="K192" i="34"/>
  <c r="K234" i="34"/>
  <c r="K233" i="34"/>
  <c r="K232" i="34"/>
  <c r="K212" i="34"/>
  <c r="K211" i="34"/>
  <c r="K178" i="34"/>
  <c r="K175" i="34"/>
  <c r="K174" i="34"/>
  <c r="K165" i="34"/>
  <c r="K166" i="34"/>
  <c r="K159" i="34"/>
  <c r="K160" i="34"/>
  <c r="K158" i="34"/>
  <c r="K133" i="34"/>
  <c r="K130" i="34"/>
  <c r="K164" i="34"/>
  <c r="K163" i="34"/>
  <c r="K154" i="34"/>
  <c r="K153" i="34"/>
  <c r="K96" i="34"/>
  <c r="K95" i="34"/>
  <c r="K92" i="34"/>
  <c r="K91" i="34"/>
  <c r="K81" i="34"/>
  <c r="K111" i="34"/>
  <c r="K105" i="34"/>
  <c r="K104" i="34"/>
  <c r="K114" i="34"/>
  <c r="K51" i="34"/>
  <c r="K50" i="34"/>
  <c r="K67" i="34"/>
  <c r="K28" i="34"/>
  <c r="K45" i="34"/>
  <c r="K41" i="34" l="1"/>
  <c r="K42" i="34"/>
  <c r="K37" i="34"/>
  <c r="K38" i="34"/>
  <c r="K34" i="34"/>
  <c r="K33" i="34"/>
  <c r="K49" i="34"/>
  <c r="K48" i="34"/>
  <c r="K66" i="34"/>
  <c r="K65" i="34"/>
  <c r="C66" i="34"/>
  <c r="C48" i="34"/>
  <c r="C49" i="34"/>
  <c r="C30" i="34"/>
  <c r="C31" i="34"/>
  <c r="C33" i="34"/>
  <c r="C34" i="34"/>
  <c r="C35" i="34"/>
  <c r="C37" i="34"/>
  <c r="C38" i="34"/>
  <c r="C39" i="34"/>
  <c r="C41" i="34"/>
  <c r="C42" i="34"/>
  <c r="C43" i="34"/>
  <c r="C45" i="34"/>
  <c r="C46" i="34"/>
  <c r="C28" i="34"/>
  <c r="C29" i="34"/>
  <c r="C67" i="34"/>
  <c r="C68" i="34"/>
  <c r="C87" i="34"/>
  <c r="C88" i="34"/>
  <c r="C89" i="34"/>
  <c r="C50" i="34"/>
  <c r="C51" i="34"/>
  <c r="C114" i="34"/>
  <c r="C115" i="34"/>
  <c r="C90" i="34"/>
  <c r="C117" i="34"/>
  <c r="C104" i="34"/>
  <c r="C105" i="34"/>
  <c r="C106" i="34"/>
  <c r="C111" i="34"/>
  <c r="C112" i="34"/>
  <c r="C81" i="34"/>
  <c r="C82" i="34"/>
  <c r="C91" i="34"/>
  <c r="C92" i="34"/>
  <c r="C93" i="34"/>
  <c r="C95" i="34"/>
  <c r="C96" i="34"/>
  <c r="C152" i="34"/>
  <c r="C147" i="34"/>
  <c r="C148" i="34"/>
  <c r="C26" i="34"/>
  <c r="C189" i="34"/>
  <c r="C190" i="34"/>
  <c r="C191" i="34"/>
  <c r="C163" i="34"/>
  <c r="C164" i="34"/>
  <c r="C153" i="34"/>
  <c r="C154" i="34"/>
  <c r="C143" i="34"/>
  <c r="C144" i="34"/>
  <c r="C130" i="34"/>
  <c r="C131" i="34"/>
  <c r="C133" i="34"/>
  <c r="C134" i="34"/>
  <c r="C158" i="34"/>
  <c r="C159" i="34"/>
  <c r="C160" i="34"/>
  <c r="C161" i="34"/>
  <c r="C165" i="34"/>
  <c r="C166" i="34"/>
  <c r="C167" i="34"/>
  <c r="C174" i="34"/>
  <c r="C175" i="34"/>
  <c r="C176" i="34"/>
  <c r="C178" i="34"/>
  <c r="C179" i="34"/>
  <c r="C211" i="34"/>
  <c r="C212" i="34"/>
  <c r="C213" i="34"/>
  <c r="C214" i="34"/>
  <c r="C243" i="34"/>
  <c r="C244" i="34"/>
  <c r="C230" i="34"/>
  <c r="C231" i="34"/>
  <c r="C224" i="34"/>
  <c r="C225" i="34"/>
  <c r="C239" i="34"/>
  <c r="C240" i="34"/>
  <c r="C232" i="34"/>
  <c r="C233" i="34"/>
  <c r="C234" i="34"/>
  <c r="C235" i="34"/>
  <c r="C192" i="34"/>
  <c r="C193" i="34"/>
  <c r="C194" i="34"/>
  <c r="C202" i="34"/>
  <c r="C203" i="34"/>
  <c r="C204" i="34"/>
  <c r="C241" i="34"/>
  <c r="C210" i="34"/>
  <c r="C27" i="34"/>
  <c r="C32" i="34"/>
  <c r="C61" i="34"/>
  <c r="C70" i="34"/>
  <c r="C71" i="34"/>
  <c r="C75" i="34"/>
  <c r="C76" i="34"/>
  <c r="C77" i="34"/>
  <c r="C84" i="34"/>
  <c r="C65" i="34"/>
  <c r="B31" i="55" l="1"/>
  <c r="G31" i="55" a="1"/>
  <c r="G31" i="55" s="1"/>
  <c r="I31" i="55" a="1"/>
  <c r="I31" i="55" s="1"/>
  <c r="B29" i="55"/>
  <c r="G29" i="55" a="1"/>
  <c r="G29" i="55" s="1"/>
  <c r="I29" i="55" a="1"/>
  <c r="I29" i="55" s="1"/>
  <c r="B26" i="55"/>
  <c r="G26" i="55" a="1"/>
  <c r="G26" i="55" s="1"/>
  <c r="I26" i="55" a="1"/>
  <c r="I26" i="55" s="1"/>
  <c r="B38" i="55"/>
  <c r="G38" i="55" a="1"/>
  <c r="G38" i="55" s="1"/>
  <c r="I38" i="55" a="1"/>
  <c r="I38" i="55" s="1"/>
  <c r="B48" i="55"/>
  <c r="G48" i="55" a="1"/>
  <c r="G48" i="55" s="1"/>
  <c r="I48" i="55" a="1"/>
  <c r="I48" i="55" s="1"/>
  <c r="B55" i="55"/>
  <c r="G55" i="55" a="1"/>
  <c r="G55" i="55" s="1"/>
  <c r="I55" i="55" a="1"/>
  <c r="I55" i="55" s="1"/>
  <c r="B57" i="55"/>
  <c r="G57" i="55" a="1"/>
  <c r="G57" i="55" s="1"/>
  <c r="I57" i="55" a="1"/>
  <c r="I57" i="55" s="1"/>
  <c r="B35" i="55"/>
  <c r="G35" i="55" a="1"/>
  <c r="G35" i="55" s="1"/>
  <c r="I35" i="55" a="1"/>
  <c r="I35" i="55" s="1"/>
  <c r="B37" i="55"/>
  <c r="G37" i="55" a="1"/>
  <c r="G37" i="55" s="1"/>
  <c r="I37" i="55" a="1"/>
  <c r="I37" i="55" s="1"/>
  <c r="B14" i="55"/>
  <c r="G14" i="55" a="1"/>
  <c r="G14" i="55" s="1"/>
  <c r="I14" i="55" a="1"/>
  <c r="I14" i="55" s="1"/>
  <c r="B22" i="55"/>
  <c r="G22" i="55" a="1"/>
  <c r="G22" i="55" s="1"/>
  <c r="I22" i="55" a="1"/>
  <c r="I22" i="55" s="1"/>
  <c r="B51" i="55"/>
  <c r="G51" i="55" a="1"/>
  <c r="G51" i="55" s="1"/>
  <c r="I51" i="55" a="1"/>
  <c r="I51" i="55" s="1"/>
  <c r="B42" i="55"/>
  <c r="G42" i="55" a="1"/>
  <c r="G42" i="55" s="1"/>
  <c r="I42" i="55" a="1"/>
  <c r="I42" i="55" s="1"/>
  <c r="B17" i="55"/>
  <c r="G17" i="55" a="1"/>
  <c r="G17" i="55" s="1"/>
  <c r="I17" i="55" a="1"/>
  <c r="I17" i="55" s="1"/>
  <c r="B52" i="55"/>
  <c r="G52" i="55" a="1"/>
  <c r="G52" i="55" s="1"/>
  <c r="I52" i="55" a="1"/>
  <c r="I52" i="55" s="1"/>
  <c r="B13" i="55"/>
  <c r="G13" i="55" a="1"/>
  <c r="G13" i="55" s="1"/>
  <c r="I13" i="55" a="1"/>
  <c r="I13" i="55" s="1"/>
  <c r="B12" i="55"/>
  <c r="G12" i="55" a="1"/>
  <c r="G12" i="55" s="1"/>
  <c r="I12" i="55" a="1"/>
  <c r="I12" i="55" s="1"/>
  <c r="B56" i="55"/>
  <c r="G56" i="55" a="1"/>
  <c r="G56" i="55" s="1"/>
  <c r="I56" i="55" a="1"/>
  <c r="I56" i="55" s="1"/>
  <c r="B54" i="55"/>
  <c r="G54" i="55" a="1"/>
  <c r="G54" i="55" s="1"/>
  <c r="I54" i="55" a="1"/>
  <c r="I54" i="55" s="1"/>
  <c r="B47" i="55"/>
  <c r="G47" i="55" a="1"/>
  <c r="G47" i="55" s="1"/>
  <c r="I47" i="55" a="1"/>
  <c r="I47" i="55" s="1"/>
  <c r="G19" i="55" a="1"/>
  <c r="G19" i="55" s="1"/>
  <c r="I19" i="55" a="1"/>
  <c r="I19" i="55" s="1"/>
  <c r="G15" i="55" a="1"/>
  <c r="G15" i="55" s="1"/>
  <c r="I15" i="55" a="1"/>
  <c r="I15" i="55" s="1"/>
  <c r="G21" i="55" a="1"/>
  <c r="G21" i="55" s="1"/>
  <c r="I21" i="55" a="1"/>
  <c r="I21" i="55" s="1"/>
  <c r="G18" i="55" a="1"/>
  <c r="G18" i="55" s="1"/>
  <c r="I18" i="55" a="1"/>
  <c r="I18" i="55" s="1"/>
  <c r="G25" i="55" a="1"/>
  <c r="G25" i="55" s="1"/>
  <c r="I25" i="55" a="1"/>
  <c r="I25" i="55" s="1"/>
  <c r="G27" i="55" a="1"/>
  <c r="G27" i="55" s="1"/>
  <c r="I27" i="55" a="1"/>
  <c r="I27" i="55" s="1"/>
  <c r="G24" i="55" a="1"/>
  <c r="G24" i="55" s="1"/>
  <c r="I24" i="55" a="1"/>
  <c r="I24" i="55" s="1"/>
  <c r="G16" i="55" a="1"/>
  <c r="G16" i="55" s="1"/>
  <c r="I16" i="55" a="1"/>
  <c r="I16" i="55" s="1"/>
  <c r="G32" i="55" a="1"/>
  <c r="G32" i="55" s="1"/>
  <c r="I32" i="55" a="1"/>
  <c r="I32" i="55" s="1"/>
  <c r="G28" i="55" a="1"/>
  <c r="G28" i="55" s="1"/>
  <c r="I28" i="55" a="1"/>
  <c r="I28" i="55" s="1"/>
  <c r="G30" i="55" a="1"/>
  <c r="G30" i="55" s="1"/>
  <c r="I30" i="55" a="1"/>
  <c r="I30" i="55" s="1"/>
  <c r="G33" i="55" a="1"/>
  <c r="G33" i="55" s="1"/>
  <c r="I33" i="55" a="1"/>
  <c r="I33" i="55" s="1"/>
  <c r="G45" i="55" a="1"/>
  <c r="G45" i="55" s="1"/>
  <c r="I45" i="55" a="1"/>
  <c r="I45" i="55" s="1"/>
  <c r="G44" i="55" a="1"/>
  <c r="G44" i="55" s="1"/>
  <c r="I44" i="55" a="1"/>
  <c r="I44" i="55" s="1"/>
  <c r="G36" i="55" a="1"/>
  <c r="G36" i="55" s="1"/>
  <c r="I36" i="55" a="1"/>
  <c r="I36" i="55" s="1"/>
  <c r="G50" i="55" a="1"/>
  <c r="G50" i="55" s="1"/>
  <c r="I50" i="55" a="1"/>
  <c r="I50" i="55" s="1"/>
  <c r="G46" i="55" a="1"/>
  <c r="G46" i="55" s="1"/>
  <c r="I46" i="55" a="1"/>
  <c r="I46" i="55" s="1"/>
  <c r="G53" i="55" a="1"/>
  <c r="G53" i="55" s="1"/>
  <c r="I53" i="55" a="1"/>
  <c r="I53" i="55" s="1"/>
  <c r="G39" i="55" a="1"/>
  <c r="G39" i="55" s="1"/>
  <c r="I39" i="55" a="1"/>
  <c r="I39" i="55" s="1"/>
  <c r="G49" i="55" a="1"/>
  <c r="G49" i="55" s="1"/>
  <c r="I49" i="55" a="1"/>
  <c r="I49" i="55" s="1"/>
  <c r="G43" i="55" a="1"/>
  <c r="G43" i="55" s="1"/>
  <c r="I43" i="55" a="1"/>
  <c r="I43" i="55" s="1"/>
  <c r="G40" i="55" a="1"/>
  <c r="G40" i="55" s="1"/>
  <c r="I40" i="55" a="1"/>
  <c r="I40" i="55" s="1"/>
  <c r="G41" i="55" a="1"/>
  <c r="G41" i="55" s="1"/>
  <c r="I41" i="55" a="1"/>
  <c r="I41" i="55" s="1"/>
  <c r="G34" i="55" a="1"/>
  <c r="G34" i="55" s="1"/>
  <c r="I34" i="55" a="1"/>
  <c r="I34" i="55" s="1"/>
  <c r="G23" i="55" a="1"/>
  <c r="G23" i="55" s="1"/>
  <c r="I23" i="55" a="1"/>
  <c r="I23" i="55" s="1"/>
  <c r="I20" i="55" a="1"/>
  <c r="I20" i="55" s="1"/>
  <c r="G20" i="55" a="1"/>
  <c r="G20" i="55" s="1"/>
  <c r="E59" i="55"/>
  <c r="B19" i="55"/>
  <c r="B15" i="55"/>
  <c r="B21" i="55"/>
  <c r="B18" i="55"/>
  <c r="B25" i="55"/>
  <c r="B27" i="55"/>
  <c r="B24" i="55"/>
  <c r="B16" i="55"/>
  <c r="B32" i="55"/>
  <c r="B28" i="55"/>
  <c r="B30" i="55"/>
  <c r="B33" i="55"/>
  <c r="B45" i="55"/>
  <c r="B44" i="55"/>
  <c r="B36" i="55"/>
  <c r="B50" i="55"/>
  <c r="B46" i="55"/>
  <c r="B53" i="55"/>
  <c r="B39" i="55"/>
  <c r="B49" i="55"/>
  <c r="B43" i="55"/>
  <c r="B40" i="55"/>
  <c r="B41" i="55"/>
  <c r="B34" i="55"/>
  <c r="B23" i="55"/>
  <c r="B58" i="55"/>
  <c r="B20" i="55"/>
  <c r="K19" i="55" l="1"/>
  <c r="K21" i="55"/>
  <c r="K27" i="55"/>
  <c r="K36" i="55"/>
  <c r="K28" i="55"/>
  <c r="K15" i="55"/>
  <c r="K25" i="55"/>
  <c r="K51" i="55"/>
  <c r="K39" i="55"/>
  <c r="K44" i="55"/>
  <c r="K32" i="55"/>
  <c r="K41" i="55"/>
  <c r="K56" i="55"/>
  <c r="K52" i="55"/>
  <c r="K14" i="55"/>
  <c r="K13" i="55"/>
  <c r="K17" i="55"/>
  <c r="K48" i="55"/>
  <c r="K12" i="55"/>
  <c r="K42" i="55"/>
  <c r="K29" i="55"/>
  <c r="K37" i="55"/>
  <c r="K35" i="55"/>
  <c r="K57" i="55"/>
  <c r="K26" i="55"/>
  <c r="K31" i="55"/>
  <c r="K55" i="55"/>
  <c r="K38" i="55"/>
  <c r="K22" i="55"/>
  <c r="K43" i="55"/>
  <c r="K54" i="55"/>
  <c r="K40" i="55"/>
  <c r="K49" i="55"/>
  <c r="K53" i="55"/>
  <c r="K45" i="55"/>
  <c r="K30" i="55"/>
  <c r="K24" i="55"/>
  <c r="K18" i="55"/>
  <c r="K47" i="55"/>
  <c r="K46" i="55"/>
  <c r="K50" i="55"/>
  <c r="K33" i="55"/>
  <c r="K16" i="55"/>
  <c r="K23" i="55"/>
  <c r="K34" i="55"/>
  <c r="K20" i="55"/>
  <c r="B115" i="34"/>
  <c r="B89" i="34"/>
  <c r="B87" i="34"/>
  <c r="B29" i="34"/>
  <c r="A115" i="34" l="1"/>
  <c r="W115" i="34"/>
  <c r="Z115" i="34"/>
  <c r="A29" i="34"/>
  <c r="W29" i="34"/>
  <c r="Z29" i="34"/>
  <c r="A87" i="34"/>
  <c r="Z87" i="34"/>
  <c r="W87" i="34"/>
  <c r="A89" i="34"/>
  <c r="Z89" i="34"/>
  <c r="W89" i="34"/>
  <c r="D39" i="15"/>
  <c r="G39" i="15"/>
  <c r="H39" i="15"/>
  <c r="C39" i="15"/>
  <c r="Y18" i="34" l="1"/>
  <c r="X18" i="34"/>
  <c r="T18" i="34"/>
  <c r="S18" i="34"/>
  <c r="R18" i="34"/>
  <c r="N18" i="34"/>
  <c r="K18" i="34"/>
  <c r="C18" i="34"/>
  <c r="B18" i="34" s="1"/>
  <c r="Z18" i="34" l="1"/>
  <c r="A18" i="34"/>
  <c r="A6" i="70" l="1"/>
  <c r="A12" i="70"/>
  <c r="A11" i="70"/>
  <c r="A13" i="70"/>
  <c r="T8" i="43" l="1"/>
  <c r="A2" i="79" l="1"/>
  <c r="A1" i="79"/>
  <c r="A2" i="53" l="1"/>
  <c r="A1" i="53"/>
  <c r="A3" i="54" l="1"/>
  <c r="A2" i="54"/>
  <c r="C22" i="54"/>
  <c r="B2" i="55" l="1"/>
  <c r="B1" i="55"/>
  <c r="A7" i="12"/>
  <c r="A6" i="12"/>
  <c r="A7" i="70"/>
  <c r="A14" i="70"/>
  <c r="A8" i="70"/>
  <c r="A10" i="70"/>
  <c r="A9" i="70"/>
  <c r="A2" i="12"/>
  <c r="A1" i="12"/>
  <c r="A2" i="70"/>
  <c r="A1" i="70"/>
  <c r="A2" i="60" l="1"/>
  <c r="K14" i="34" l="1"/>
  <c r="Y14" i="34"/>
  <c r="X14" i="34"/>
  <c r="T14" i="34"/>
  <c r="S14" i="34"/>
  <c r="R14" i="34"/>
  <c r="N14" i="34"/>
  <c r="C14" i="34"/>
  <c r="B14" i="34" s="1"/>
  <c r="A14" i="34" s="1"/>
  <c r="E23" i="54" l="1"/>
  <c r="E16" i="61"/>
  <c r="C11" i="34"/>
  <c r="C12" i="34"/>
  <c r="C13" i="34"/>
  <c r="C15" i="34"/>
  <c r="C16" i="34"/>
  <c r="C17" i="34"/>
  <c r="C19" i="34"/>
  <c r="C20" i="34"/>
  <c r="C21" i="34"/>
  <c r="C22" i="34"/>
  <c r="C10" i="34"/>
  <c r="J3" i="54" l="1"/>
  <c r="L3" i="39"/>
  <c r="L2" i="39"/>
  <c r="A15" i="70" l="1"/>
  <c r="B91" i="34" l="1"/>
  <c r="B82" i="34"/>
  <c r="B81" i="34"/>
  <c r="B112" i="34"/>
  <c r="B111" i="34"/>
  <c r="B106" i="34"/>
  <c r="B105" i="34"/>
  <c r="B104" i="34"/>
  <c r="B117" i="34"/>
  <c r="B90" i="34"/>
  <c r="B114" i="34"/>
  <c r="B51" i="34"/>
  <c r="B50" i="34"/>
  <c r="B88" i="34"/>
  <c r="B68" i="34"/>
  <c r="B67" i="34"/>
  <c r="B28" i="34"/>
  <c r="B46" i="34"/>
  <c r="B45" i="34"/>
  <c r="B43" i="34"/>
  <c r="B42" i="34"/>
  <c r="B41" i="34"/>
  <c r="B39" i="34"/>
  <c r="B38" i="34"/>
  <c r="B37" i="34"/>
  <c r="B35" i="34"/>
  <c r="B34" i="34"/>
  <c r="B33" i="34"/>
  <c r="B31" i="34"/>
  <c r="B30" i="34"/>
  <c r="B49" i="34"/>
  <c r="B48" i="34"/>
  <c r="B66" i="34"/>
  <c r="B178" i="34"/>
  <c r="B176" i="34"/>
  <c r="B175" i="34"/>
  <c r="B174" i="34"/>
  <c r="B167" i="34"/>
  <c r="B166" i="34"/>
  <c r="B165" i="34"/>
  <c r="B161" i="34"/>
  <c r="B160" i="34"/>
  <c r="B159" i="34"/>
  <c r="B158" i="34"/>
  <c r="B134" i="34"/>
  <c r="B133" i="34"/>
  <c r="B131" i="34"/>
  <c r="B130" i="34"/>
  <c r="B144" i="34"/>
  <c r="B143" i="34"/>
  <c r="B154" i="34"/>
  <c r="B153" i="34"/>
  <c r="B164" i="34"/>
  <c r="B163" i="34"/>
  <c r="B191" i="34"/>
  <c r="B190" i="34"/>
  <c r="B189" i="34"/>
  <c r="B26" i="34"/>
  <c r="B148" i="34"/>
  <c r="B147" i="34"/>
  <c r="B152" i="34"/>
  <c r="B96" i="34"/>
  <c r="B95" i="34"/>
  <c r="B93" i="34"/>
  <c r="B92" i="34"/>
  <c r="A163" i="34" l="1"/>
  <c r="W163" i="34"/>
  <c r="Z163" i="34"/>
  <c r="A160" i="34"/>
  <c r="Z160" i="34"/>
  <c r="W160" i="34"/>
  <c r="A30" i="34"/>
  <c r="Z30" i="34"/>
  <c r="W30" i="34"/>
  <c r="A46" i="34"/>
  <c r="Z46" i="34"/>
  <c r="W46" i="34"/>
  <c r="A92" i="34"/>
  <c r="W92" i="34"/>
  <c r="Z92" i="34"/>
  <c r="A189" i="34"/>
  <c r="W189" i="34"/>
  <c r="Z189" i="34"/>
  <c r="A144" i="34"/>
  <c r="Z144" i="34"/>
  <c r="W144" i="34"/>
  <c r="A134" i="34"/>
  <c r="Z134" i="34"/>
  <c r="W134" i="34"/>
  <c r="A174" i="34"/>
  <c r="Z174" i="34"/>
  <c r="W174" i="34"/>
  <c r="A93" i="34"/>
  <c r="Z93" i="34"/>
  <c r="W93" i="34"/>
  <c r="A147" i="34"/>
  <c r="W147" i="34"/>
  <c r="Z147" i="34"/>
  <c r="A190" i="34"/>
  <c r="Z190" i="34"/>
  <c r="W190" i="34"/>
  <c r="A153" i="34"/>
  <c r="W153" i="34"/>
  <c r="Z153" i="34"/>
  <c r="A130" i="34"/>
  <c r="Z130" i="34"/>
  <c r="W130" i="34"/>
  <c r="A158" i="34"/>
  <c r="Z158" i="34"/>
  <c r="W158" i="34"/>
  <c r="A165" i="34"/>
  <c r="W165" i="34"/>
  <c r="Z165" i="34"/>
  <c r="A175" i="34"/>
  <c r="W175" i="34"/>
  <c r="Z175" i="34"/>
  <c r="A48" i="34"/>
  <c r="Z48" i="34"/>
  <c r="W48" i="34"/>
  <c r="A33" i="34"/>
  <c r="W33" i="34"/>
  <c r="Z33" i="34"/>
  <c r="A38" i="34"/>
  <c r="Z38" i="34"/>
  <c r="W38" i="34"/>
  <c r="A43" i="34"/>
  <c r="W43" i="34"/>
  <c r="Z43" i="34"/>
  <c r="A67" i="34"/>
  <c r="W67" i="34"/>
  <c r="Z67" i="34"/>
  <c r="A51" i="34"/>
  <c r="W51" i="34"/>
  <c r="Z51" i="34"/>
  <c r="A104" i="34"/>
  <c r="W104" i="34"/>
  <c r="Z104" i="34"/>
  <c r="A112" i="34"/>
  <c r="Z112" i="34"/>
  <c r="W112" i="34"/>
  <c r="A96" i="34"/>
  <c r="W96" i="34"/>
  <c r="Z96" i="34"/>
  <c r="A95" i="34"/>
  <c r="Z95" i="34"/>
  <c r="W95" i="34"/>
  <c r="A148" i="34"/>
  <c r="Z148" i="34"/>
  <c r="W148" i="34"/>
  <c r="A191" i="34"/>
  <c r="Z191" i="34"/>
  <c r="W191" i="34"/>
  <c r="A154" i="34"/>
  <c r="Z154" i="34"/>
  <c r="W154" i="34"/>
  <c r="A131" i="34"/>
  <c r="W131" i="34"/>
  <c r="Z131" i="34"/>
  <c r="A159" i="34"/>
  <c r="W159" i="34"/>
  <c r="Z159" i="34"/>
  <c r="A166" i="34"/>
  <c r="Z166" i="34"/>
  <c r="W166" i="34"/>
  <c r="A176" i="34"/>
  <c r="Z176" i="34"/>
  <c r="W176" i="34"/>
  <c r="A49" i="34"/>
  <c r="W49" i="34"/>
  <c r="Z49" i="34"/>
  <c r="A34" i="34"/>
  <c r="Z34" i="34"/>
  <c r="W34" i="34"/>
  <c r="A39" i="34"/>
  <c r="W39" i="34"/>
  <c r="Z39" i="34"/>
  <c r="A45" i="34"/>
  <c r="W45" i="34"/>
  <c r="Z45" i="34"/>
  <c r="A68" i="34"/>
  <c r="Z68" i="34"/>
  <c r="W68" i="34"/>
  <c r="A114" i="34"/>
  <c r="Z114" i="34"/>
  <c r="W114" i="34"/>
  <c r="A105" i="34"/>
  <c r="W105" i="34"/>
  <c r="Z105" i="34"/>
  <c r="A81" i="34"/>
  <c r="Z81" i="34"/>
  <c r="W81" i="34"/>
  <c r="A143" i="34"/>
  <c r="W143" i="34"/>
  <c r="Z143" i="34"/>
  <c r="A167" i="34"/>
  <c r="W167" i="34"/>
  <c r="Z167" i="34"/>
  <c r="A35" i="34"/>
  <c r="W35" i="34"/>
  <c r="Z35" i="34"/>
  <c r="A88" i="34"/>
  <c r="W88" i="34"/>
  <c r="Z88" i="34"/>
  <c r="A90" i="34"/>
  <c r="W90" i="34"/>
  <c r="Z90" i="34"/>
  <c r="A106" i="34"/>
  <c r="Z106" i="34"/>
  <c r="W106" i="34"/>
  <c r="A82" i="34"/>
  <c r="W82" i="34"/>
  <c r="Z82" i="34"/>
  <c r="A26" i="34"/>
  <c r="Z26" i="34"/>
  <c r="W26" i="34"/>
  <c r="A133" i="34"/>
  <c r="W133" i="34"/>
  <c r="Z133" i="34"/>
  <c r="A178" i="34"/>
  <c r="Z178" i="34"/>
  <c r="W178" i="34"/>
  <c r="A41" i="34"/>
  <c r="W41" i="34"/>
  <c r="Z41" i="34"/>
  <c r="A152" i="34"/>
  <c r="Z152" i="34"/>
  <c r="W152" i="34"/>
  <c r="A164" i="34"/>
  <c r="Z164" i="34"/>
  <c r="W164" i="34"/>
  <c r="A161" i="34"/>
  <c r="W161" i="34"/>
  <c r="Z161" i="34"/>
  <c r="A66" i="34"/>
  <c r="Z66" i="34"/>
  <c r="W66" i="34"/>
  <c r="A31" i="34"/>
  <c r="W31" i="34"/>
  <c r="Z31" i="34"/>
  <c r="A37" i="34"/>
  <c r="W37" i="34"/>
  <c r="Z37" i="34"/>
  <c r="A42" i="34"/>
  <c r="Z42" i="34"/>
  <c r="W42" i="34"/>
  <c r="A28" i="34"/>
  <c r="Z28" i="34"/>
  <c r="W28" i="34"/>
  <c r="A50" i="34"/>
  <c r="Z50" i="34"/>
  <c r="W50" i="34"/>
  <c r="A117" i="34"/>
  <c r="W117" i="34"/>
  <c r="Z117" i="34"/>
  <c r="A111" i="34"/>
  <c r="W111" i="34"/>
  <c r="Z111" i="34"/>
  <c r="A91" i="34"/>
  <c r="Z91" i="34"/>
  <c r="W91" i="34"/>
  <c r="B139" i="34"/>
  <c r="B137" i="34"/>
  <c r="A137" i="34" l="1"/>
  <c r="W137" i="34"/>
  <c r="Z137" i="34"/>
  <c r="A139" i="34"/>
  <c r="W139" i="34"/>
  <c r="Z139" i="34"/>
  <c r="B203" i="34"/>
  <c r="A203" i="34" l="1"/>
  <c r="Z203" i="34"/>
  <c r="W203" i="34"/>
  <c r="N23" i="34"/>
  <c r="R23" i="34"/>
  <c r="S23" i="34"/>
  <c r="T23" i="34"/>
  <c r="X23" i="34"/>
  <c r="Y23" i="34"/>
  <c r="B65" i="34" l="1"/>
  <c r="A65" i="34" l="1"/>
  <c r="W65" i="34"/>
  <c r="Z65" i="34"/>
  <c r="F59" i="55"/>
  <c r="E60" i="55" s="1"/>
  <c r="B220" i="34" l="1"/>
  <c r="B169" i="34"/>
  <c r="B142" i="34"/>
  <c r="B206" i="34"/>
  <c r="I7" i="12"/>
  <c r="I8" i="12"/>
  <c r="I6" i="12"/>
  <c r="A169" i="34" l="1"/>
  <c r="S169" i="34"/>
  <c r="W169" i="34"/>
  <c r="T169" i="34"/>
  <c r="R169" i="34"/>
  <c r="Z169" i="34"/>
  <c r="A206" i="34"/>
  <c r="Z206" i="34"/>
  <c r="W206" i="34"/>
  <c r="A142" i="34"/>
  <c r="R142" i="34"/>
  <c r="Z142" i="34"/>
  <c r="S142" i="34"/>
  <c r="W142" i="34"/>
  <c r="T142" i="34"/>
  <c r="A220" i="34"/>
  <c r="R220" i="34"/>
  <c r="Z220" i="34"/>
  <c r="S220" i="34"/>
  <c r="W220" i="34"/>
  <c r="T220" i="34"/>
  <c r="O5" i="78"/>
  <c r="N5" i="78"/>
  <c r="B183" i="34"/>
  <c r="B156" i="34"/>
  <c r="B149" i="34"/>
  <c r="A156" i="34" l="1"/>
  <c r="Z156" i="34"/>
  <c r="W156" i="34"/>
  <c r="A183" i="34"/>
  <c r="W183" i="34"/>
  <c r="Z183" i="34"/>
  <c r="A149" i="34"/>
  <c r="W149" i="34"/>
  <c r="Z149" i="34"/>
  <c r="B325" i="34"/>
  <c r="B324" i="34"/>
  <c r="B298" i="34"/>
  <c r="B297" i="34"/>
  <c r="B296" i="34"/>
  <c r="B295" i="34"/>
  <c r="B294" i="34"/>
  <c r="B290" i="34"/>
  <c r="B289" i="34"/>
  <c r="B288" i="34"/>
  <c r="B287" i="34"/>
  <c r="B286" i="34"/>
  <c r="B285" i="34"/>
  <c r="B284" i="34"/>
  <c r="B201" i="34"/>
  <c r="B200" i="34"/>
  <c r="B198" i="34"/>
  <c r="B197" i="34"/>
  <c r="B196" i="34"/>
  <c r="B186" i="34"/>
  <c r="B185" i="34"/>
  <c r="B184" i="34"/>
  <c r="B171" i="34"/>
  <c r="B170" i="34"/>
  <c r="B155" i="34"/>
  <c r="B150" i="34"/>
  <c r="B146" i="34"/>
  <c r="B145" i="34"/>
  <c r="B140" i="34"/>
  <c r="A287" i="34" l="1"/>
  <c r="Z287" i="34"/>
  <c r="W287" i="34"/>
  <c r="A294" i="34"/>
  <c r="Z294" i="34"/>
  <c r="W294" i="34"/>
  <c r="A298" i="34"/>
  <c r="Z298" i="34"/>
  <c r="W298" i="34"/>
  <c r="A284" i="34"/>
  <c r="Z284" i="34"/>
  <c r="W284" i="34"/>
  <c r="A295" i="34"/>
  <c r="Z295" i="34"/>
  <c r="W295" i="34"/>
  <c r="A324" i="34"/>
  <c r="Z324" i="34"/>
  <c r="W324" i="34"/>
  <c r="A288" i="34"/>
  <c r="Z288" i="34"/>
  <c r="W288" i="34"/>
  <c r="A285" i="34"/>
  <c r="Z285" i="34"/>
  <c r="W285" i="34"/>
  <c r="A289" i="34"/>
  <c r="Z289" i="34"/>
  <c r="W289" i="34"/>
  <c r="A296" i="34"/>
  <c r="Z296" i="34"/>
  <c r="W296" i="34"/>
  <c r="Z325" i="34"/>
  <c r="W325" i="34"/>
  <c r="A286" i="34"/>
  <c r="Z286" i="34"/>
  <c r="W286" i="34"/>
  <c r="A290" i="34"/>
  <c r="Z290" i="34"/>
  <c r="W290" i="34"/>
  <c r="A297" i="34"/>
  <c r="Z297" i="34"/>
  <c r="W297" i="34"/>
  <c r="A145" i="34"/>
  <c r="W145" i="34"/>
  <c r="Z145" i="34"/>
  <c r="A170" i="34"/>
  <c r="Z170" i="34"/>
  <c r="W170" i="34"/>
  <c r="A186" i="34"/>
  <c r="Z186" i="34"/>
  <c r="W186" i="34"/>
  <c r="A200" i="34"/>
  <c r="Z200" i="34"/>
  <c r="W200" i="34"/>
  <c r="A146" i="34"/>
  <c r="Z146" i="34"/>
  <c r="W146" i="34"/>
  <c r="A171" i="34"/>
  <c r="W171" i="34"/>
  <c r="Z171" i="34"/>
  <c r="A196" i="34"/>
  <c r="Z196" i="34"/>
  <c r="W196" i="34"/>
  <c r="A201" i="34"/>
  <c r="Z201" i="34"/>
  <c r="W201" i="34"/>
  <c r="A150" i="34"/>
  <c r="Z150" i="34"/>
  <c r="W150" i="34"/>
  <c r="A184" i="34"/>
  <c r="Z184" i="34"/>
  <c r="W184" i="34"/>
  <c r="A197" i="34"/>
  <c r="Z197" i="34"/>
  <c r="W197" i="34"/>
  <c r="A140" i="34"/>
  <c r="Z140" i="34"/>
  <c r="W140" i="34"/>
  <c r="A155" i="34"/>
  <c r="W155" i="34"/>
  <c r="Z155" i="34"/>
  <c r="A185" i="34"/>
  <c r="W185" i="34"/>
  <c r="Z185" i="34"/>
  <c r="A198" i="34"/>
  <c r="Z198" i="34"/>
  <c r="W198" i="34"/>
  <c r="A325" i="34"/>
  <c r="B102" i="34"/>
  <c r="B103" i="34"/>
  <c r="B86" i="34"/>
  <c r="A86" i="34" l="1"/>
  <c r="W86" i="34"/>
  <c r="Z86" i="34"/>
  <c r="A103" i="34"/>
  <c r="Z103" i="34"/>
  <c r="R103" i="34"/>
  <c r="W103" i="34"/>
  <c r="S103" i="34"/>
  <c r="T103" i="34"/>
  <c r="A102" i="34"/>
  <c r="S102" i="34"/>
  <c r="W102" i="34"/>
  <c r="R102" i="34"/>
  <c r="T102" i="34"/>
  <c r="Z102" i="34"/>
  <c r="I18" i="54"/>
  <c r="B212" i="34"/>
  <c r="A212" i="34" l="1"/>
  <c r="Z212" i="34"/>
  <c r="W212" i="34"/>
  <c r="N11" i="34"/>
  <c r="N12" i="34"/>
  <c r="N13" i="34"/>
  <c r="N15" i="34"/>
  <c r="N16" i="34"/>
  <c r="N17" i="34"/>
  <c r="N19" i="34"/>
  <c r="N20" i="34"/>
  <c r="N21" i="34"/>
  <c r="N22" i="34"/>
  <c r="N10" i="34"/>
  <c r="N5" i="77"/>
  <c r="O5" i="77" l="1"/>
  <c r="L5" i="75"/>
  <c r="M5" i="75"/>
  <c r="P5" i="74"/>
  <c r="O5" i="74"/>
  <c r="U273" i="34" l="1"/>
  <c r="U287" i="34"/>
  <c r="U295" i="34"/>
  <c r="U299" i="34"/>
  <c r="U303" i="34"/>
  <c r="U305" i="34"/>
  <c r="U309" i="34"/>
  <c r="U313" i="34"/>
  <c r="U315" i="34"/>
  <c r="U321" i="34"/>
  <c r="U245" i="34"/>
  <c r="U247" i="34"/>
  <c r="U249" i="34"/>
  <c r="U251" i="34"/>
  <c r="U253" i="34"/>
  <c r="U255" i="34"/>
  <c r="U257" i="34"/>
  <c r="U259" i="34"/>
  <c r="U261" i="34"/>
  <c r="U263" i="34"/>
  <c r="U265" i="34"/>
  <c r="U267" i="34"/>
  <c r="U269" i="34"/>
  <c r="U271" i="34"/>
  <c r="U275" i="34"/>
  <c r="U277" i="34"/>
  <c r="U279" i="34"/>
  <c r="U281" i="34"/>
  <c r="U283" i="34"/>
  <c r="U285" i="34"/>
  <c r="U289" i="34"/>
  <c r="U297" i="34"/>
  <c r="U301" i="34"/>
  <c r="U307" i="34"/>
  <c r="U311" i="34"/>
  <c r="U317" i="34"/>
  <c r="U325" i="34"/>
  <c r="U290" i="34"/>
  <c r="U308" i="34"/>
  <c r="U312" i="34"/>
  <c r="U316" i="34"/>
  <c r="U320" i="34"/>
  <c r="U324" i="34"/>
  <c r="U246" i="34"/>
  <c r="U248" i="34"/>
  <c r="U250" i="34"/>
  <c r="U252" i="34"/>
  <c r="U254" i="34"/>
  <c r="U256" i="34"/>
  <c r="U258" i="34"/>
  <c r="U260" i="34"/>
  <c r="U262" i="34"/>
  <c r="U264" i="34"/>
  <c r="U266" i="34"/>
  <c r="U268" i="34"/>
  <c r="U270" i="34"/>
  <c r="U272" i="34"/>
  <c r="U274" i="34"/>
  <c r="U276" i="34"/>
  <c r="U278" i="34"/>
  <c r="U280" i="34"/>
  <c r="U282" i="34"/>
  <c r="U284" i="34"/>
  <c r="U286" i="34"/>
  <c r="U288" i="34"/>
  <c r="U294" i="34"/>
  <c r="U296" i="34"/>
  <c r="U298" i="34"/>
  <c r="U300" i="34"/>
  <c r="U302" i="34"/>
  <c r="U304" i="34"/>
  <c r="U306" i="34"/>
  <c r="U310" i="34"/>
  <c r="U314" i="34"/>
  <c r="U318" i="34"/>
  <c r="U322" i="34"/>
  <c r="U319" i="34"/>
  <c r="U323" i="34"/>
  <c r="U141" i="34"/>
  <c r="U223" i="34"/>
  <c r="U151" i="34"/>
  <c r="U173" i="34"/>
  <c r="U129" i="34"/>
  <c r="U187" i="34"/>
  <c r="U228" i="34"/>
  <c r="U138" i="34"/>
  <c r="U64" i="34"/>
  <c r="U110" i="34"/>
  <c r="U209" i="34"/>
  <c r="U123" i="34"/>
  <c r="U157" i="34"/>
  <c r="U100" i="34"/>
  <c r="U168" i="34"/>
  <c r="U113" i="34"/>
  <c r="U36" i="34"/>
  <c r="U69" i="34"/>
  <c r="U107" i="34"/>
  <c r="U177" i="34"/>
  <c r="U47" i="34"/>
  <c r="U135" i="34"/>
  <c r="U236" i="34"/>
  <c r="U162" i="34"/>
  <c r="U40" i="34"/>
  <c r="U132" i="34"/>
  <c r="U116" i="34"/>
  <c r="U195" i="34"/>
  <c r="U205" i="34"/>
  <c r="U44" i="34"/>
  <c r="U83" i="34"/>
  <c r="U94" i="34"/>
  <c r="U89" i="34"/>
  <c r="U87" i="34"/>
  <c r="U115" i="34"/>
  <c r="U29" i="34"/>
  <c r="U18" i="34"/>
  <c r="U14" i="34"/>
  <c r="U144" i="34"/>
  <c r="U158" i="34"/>
  <c r="U38" i="34"/>
  <c r="U112" i="34"/>
  <c r="U95" i="34"/>
  <c r="U191" i="34"/>
  <c r="U166" i="34"/>
  <c r="U34" i="34"/>
  <c r="U114" i="34"/>
  <c r="U81" i="34"/>
  <c r="U106" i="34"/>
  <c r="U26" i="34"/>
  <c r="U152" i="34"/>
  <c r="U164" i="34"/>
  <c r="U42" i="34"/>
  <c r="U50" i="34"/>
  <c r="U91" i="34"/>
  <c r="U35" i="34"/>
  <c r="U90" i="34"/>
  <c r="U133" i="34"/>
  <c r="U161" i="34"/>
  <c r="U111" i="34"/>
  <c r="U189" i="34"/>
  <c r="U160" i="34"/>
  <c r="U30" i="34"/>
  <c r="U46" i="34"/>
  <c r="U134" i="34"/>
  <c r="U174" i="34"/>
  <c r="U93" i="34"/>
  <c r="U190" i="34"/>
  <c r="U130" i="34"/>
  <c r="U48" i="34"/>
  <c r="U148" i="34"/>
  <c r="U154" i="34"/>
  <c r="U176" i="34"/>
  <c r="U68" i="34"/>
  <c r="U178" i="34"/>
  <c r="U66" i="34"/>
  <c r="U28" i="34"/>
  <c r="U167" i="34"/>
  <c r="U82" i="34"/>
  <c r="U41" i="34"/>
  <c r="U31" i="34"/>
  <c r="U117" i="34"/>
  <c r="U163" i="34"/>
  <c r="U92" i="34"/>
  <c r="U147" i="34"/>
  <c r="U153" i="34"/>
  <c r="U165" i="34"/>
  <c r="U175" i="34"/>
  <c r="U33" i="34"/>
  <c r="U43" i="34"/>
  <c r="U67" i="34"/>
  <c r="U51" i="34"/>
  <c r="U104" i="34"/>
  <c r="U96" i="34"/>
  <c r="U131" i="34"/>
  <c r="U159" i="34"/>
  <c r="U49" i="34"/>
  <c r="U39" i="34"/>
  <c r="U45" i="34"/>
  <c r="U105" i="34"/>
  <c r="U143" i="34"/>
  <c r="U88" i="34"/>
  <c r="U37" i="34"/>
  <c r="U137" i="34"/>
  <c r="U139" i="34"/>
  <c r="U203" i="34"/>
  <c r="U65" i="34"/>
  <c r="U169" i="34"/>
  <c r="U220" i="34"/>
  <c r="U142" i="34"/>
  <c r="U206" i="34"/>
  <c r="U156" i="34"/>
  <c r="U183" i="34"/>
  <c r="U149" i="34"/>
  <c r="U170" i="34"/>
  <c r="U186" i="34"/>
  <c r="U146" i="34"/>
  <c r="U201" i="34"/>
  <c r="U150" i="34"/>
  <c r="U184" i="34"/>
  <c r="U197" i="34"/>
  <c r="U140" i="34"/>
  <c r="U198" i="34"/>
  <c r="U145" i="34"/>
  <c r="U171" i="34"/>
  <c r="U155" i="34"/>
  <c r="U185" i="34"/>
  <c r="U200" i="34"/>
  <c r="U196" i="34"/>
  <c r="U103" i="34"/>
  <c r="U86" i="34"/>
  <c r="U102" i="34"/>
  <c r="U212" i="34"/>
  <c r="B126" i="34"/>
  <c r="B122" i="34"/>
  <c r="A122" i="34" l="1"/>
  <c r="U122" i="34"/>
  <c r="Z122" i="34"/>
  <c r="W122" i="34"/>
  <c r="A126" i="34"/>
  <c r="U126" i="34"/>
  <c r="Z126" i="34"/>
  <c r="W126" i="34"/>
  <c r="B127" i="34"/>
  <c r="D5" i="61"/>
  <c r="R8" i="60"/>
  <c r="C8" i="60" s="1"/>
  <c r="X7" i="60"/>
  <c r="R7" i="60"/>
  <c r="C7" i="60" s="1"/>
  <c r="I9" i="70"/>
  <c r="I7" i="70"/>
  <c r="I14" i="70"/>
  <c r="I8" i="70"/>
  <c r="I15" i="70"/>
  <c r="I12" i="61"/>
  <c r="H12" i="61"/>
  <c r="F12" i="61"/>
  <c r="E12" i="61"/>
  <c r="C12" i="61"/>
  <c r="D12" i="61"/>
  <c r="G12" i="61"/>
  <c r="A127" i="34" l="1"/>
  <c r="W127" i="34"/>
  <c r="U127" i="34"/>
  <c r="Z127" i="34"/>
  <c r="R37" i="60"/>
  <c r="X37" i="60"/>
  <c r="C26" i="15" l="1"/>
  <c r="C27" i="15" s="1"/>
  <c r="Q3" i="56" l="1"/>
  <c r="P3" i="56"/>
  <c r="W18" i="34" l="1"/>
  <c r="W14" i="34"/>
  <c r="R11" i="34"/>
  <c r="S11" i="34"/>
  <c r="T11" i="34"/>
  <c r="X11" i="34"/>
  <c r="Y11" i="34"/>
  <c r="R12" i="34"/>
  <c r="S12" i="34"/>
  <c r="T12" i="34"/>
  <c r="X12" i="34"/>
  <c r="Y12" i="34"/>
  <c r="R13" i="34"/>
  <c r="S13" i="34"/>
  <c r="T13" i="34"/>
  <c r="X13" i="34"/>
  <c r="Y13" i="34"/>
  <c r="R15" i="34"/>
  <c r="S15" i="34"/>
  <c r="T15" i="34"/>
  <c r="X15" i="34"/>
  <c r="Y15" i="34"/>
  <c r="R16" i="34"/>
  <c r="S16" i="34"/>
  <c r="T16" i="34"/>
  <c r="X16" i="34"/>
  <c r="Y16" i="34"/>
  <c r="R17" i="34"/>
  <c r="S17" i="34"/>
  <c r="T17" i="34"/>
  <c r="X17" i="34"/>
  <c r="Y17" i="34"/>
  <c r="R19" i="34"/>
  <c r="S19" i="34"/>
  <c r="T19" i="34"/>
  <c r="X19" i="34"/>
  <c r="Y19" i="34"/>
  <c r="R20" i="34"/>
  <c r="S20" i="34"/>
  <c r="T20" i="34"/>
  <c r="X20" i="34"/>
  <c r="Y20" i="34"/>
  <c r="R21" i="34"/>
  <c r="S21" i="34"/>
  <c r="T21" i="34"/>
  <c r="X21" i="34"/>
  <c r="Y21" i="34"/>
  <c r="R22" i="34"/>
  <c r="S22" i="34"/>
  <c r="T22" i="34"/>
  <c r="X22" i="34"/>
  <c r="Y22" i="34"/>
  <c r="B70" i="34" l="1"/>
  <c r="B61" i="34"/>
  <c r="A70" i="34" l="1"/>
  <c r="U70" i="34"/>
  <c r="R70" i="34"/>
  <c r="Z70" i="34"/>
  <c r="S70" i="34"/>
  <c r="W70" i="34"/>
  <c r="T70" i="34"/>
  <c r="A61" i="34"/>
  <c r="S61" i="34"/>
  <c r="W61" i="34"/>
  <c r="T61" i="34"/>
  <c r="U61" i="34"/>
  <c r="R61" i="34"/>
  <c r="Z61" i="34"/>
  <c r="S10" i="34"/>
  <c r="A3" i="15" l="1"/>
  <c r="A2" i="15"/>
  <c r="N8" i="73"/>
  <c r="M8" i="73"/>
  <c r="A2" i="73"/>
  <c r="A1" i="73"/>
  <c r="Z14" i="34" l="1"/>
  <c r="A2" i="61"/>
  <c r="A1" i="61"/>
  <c r="A2" i="58"/>
  <c r="A1" i="58"/>
  <c r="B3" i="57"/>
  <c r="B2" i="57"/>
  <c r="A3" i="56"/>
  <c r="A3" i="74" s="1"/>
  <c r="A3" i="75" s="1"/>
  <c r="A2" i="56"/>
  <c r="A2" i="74" s="1"/>
  <c r="A2" i="75" s="1"/>
  <c r="A2" i="77" l="1"/>
  <c r="A2" i="78"/>
  <c r="A3" i="77"/>
  <c r="A3" i="78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I13" i="71" l="1"/>
  <c r="O11" i="42"/>
  <c r="N11" i="42"/>
  <c r="P28" i="34" l="1"/>
  <c r="O29" i="34"/>
  <c r="Q31" i="34"/>
  <c r="O33" i="34"/>
  <c r="Q35" i="34"/>
  <c r="P36" i="34"/>
  <c r="O37" i="34"/>
  <c r="Q39" i="34"/>
  <c r="P40" i="34"/>
  <c r="O41" i="34"/>
  <c r="Q43" i="34"/>
  <c r="P44" i="34"/>
  <c r="O45" i="34"/>
  <c r="Q47" i="34"/>
  <c r="P48" i="34"/>
  <c r="O49" i="34"/>
  <c r="Q51" i="34"/>
  <c r="O61" i="34"/>
  <c r="P64" i="34"/>
  <c r="O65" i="34"/>
  <c r="Q67" i="34"/>
  <c r="P68" i="34"/>
  <c r="O69" i="34"/>
  <c r="P81" i="34"/>
  <c r="O82" i="34"/>
  <c r="O86" i="34"/>
  <c r="Q88" i="34"/>
  <c r="P89" i="34"/>
  <c r="O90" i="34"/>
  <c r="Q92" i="34"/>
  <c r="P93" i="34"/>
  <c r="O94" i="34"/>
  <c r="Q96" i="34"/>
  <c r="Q100" i="34"/>
  <c r="O102" i="34"/>
  <c r="Q104" i="34"/>
  <c r="P105" i="34"/>
  <c r="O106" i="34"/>
  <c r="O110" i="34"/>
  <c r="Q112" i="34"/>
  <c r="P113" i="34"/>
  <c r="O114" i="34"/>
  <c r="Q116" i="34"/>
  <c r="P117" i="34"/>
  <c r="O122" i="34"/>
  <c r="O126" i="34"/>
  <c r="O26" i="34"/>
  <c r="Q28" i="34"/>
  <c r="P29" i="34"/>
  <c r="O30" i="34"/>
  <c r="P33" i="34"/>
  <c r="O34" i="34"/>
  <c r="Q36" i="34"/>
  <c r="P37" i="34"/>
  <c r="O38" i="34"/>
  <c r="Q40" i="34"/>
  <c r="P41" i="34"/>
  <c r="O42" i="34"/>
  <c r="Q44" i="34"/>
  <c r="P45" i="34"/>
  <c r="O46" i="34"/>
  <c r="Q48" i="34"/>
  <c r="P49" i="34"/>
  <c r="O50" i="34"/>
  <c r="P61" i="34"/>
  <c r="Q64" i="34"/>
  <c r="P65" i="34"/>
  <c r="O66" i="34"/>
  <c r="Q68" i="34"/>
  <c r="P69" i="34"/>
  <c r="O70" i="34"/>
  <c r="Q81" i="34"/>
  <c r="P82" i="34"/>
  <c r="O83" i="34"/>
  <c r="P86" i="34"/>
  <c r="O87" i="34"/>
  <c r="Q89" i="34"/>
  <c r="P90" i="34"/>
  <c r="O91" i="34"/>
  <c r="Q93" i="34"/>
  <c r="P94" i="34"/>
  <c r="O95" i="34"/>
  <c r="P102" i="34"/>
  <c r="O103" i="34"/>
  <c r="Q105" i="34"/>
  <c r="P106" i="34"/>
  <c r="O107" i="34"/>
  <c r="P110" i="34"/>
  <c r="O111" i="34"/>
  <c r="Q113" i="34"/>
  <c r="P114" i="34"/>
  <c r="O115" i="34"/>
  <c r="Q117" i="34"/>
  <c r="P26" i="34"/>
  <c r="Q29" i="34"/>
  <c r="P30" i="34"/>
  <c r="O31" i="34"/>
  <c r="Q33" i="34"/>
  <c r="P34" i="34"/>
  <c r="O35" i="34"/>
  <c r="Q37" i="34"/>
  <c r="P38" i="34"/>
  <c r="O39" i="34"/>
  <c r="Q41" i="34"/>
  <c r="P42" i="34"/>
  <c r="O43" i="34"/>
  <c r="Q45" i="34"/>
  <c r="P46" i="34"/>
  <c r="O47" i="34"/>
  <c r="Q49" i="34"/>
  <c r="P50" i="34"/>
  <c r="O51" i="34"/>
  <c r="Q61" i="34"/>
  <c r="Q65" i="34"/>
  <c r="P66" i="34"/>
  <c r="O67" i="34"/>
  <c r="Q69" i="34"/>
  <c r="P70" i="34"/>
  <c r="Q82" i="34"/>
  <c r="P83" i="34"/>
  <c r="Q86" i="34"/>
  <c r="P87" i="34"/>
  <c r="O88" i="34"/>
  <c r="Q90" i="34"/>
  <c r="P91" i="34"/>
  <c r="O92" i="34"/>
  <c r="Q94" i="34"/>
  <c r="P95" i="34"/>
  <c r="O96" i="34"/>
  <c r="O100" i="34"/>
  <c r="Q102" i="34"/>
  <c r="P103" i="34"/>
  <c r="O104" i="34"/>
  <c r="Q106" i="34"/>
  <c r="P107" i="34"/>
  <c r="Q110" i="34"/>
  <c r="P111" i="34"/>
  <c r="O112" i="34"/>
  <c r="Q114" i="34"/>
  <c r="P115" i="34"/>
  <c r="O116" i="34"/>
  <c r="Q26" i="34"/>
  <c r="O28" i="34"/>
  <c r="Q30" i="34"/>
  <c r="P31" i="34"/>
  <c r="Q34" i="34"/>
  <c r="P35" i="34"/>
  <c r="O36" i="34"/>
  <c r="Q38" i="34"/>
  <c r="P39" i="34"/>
  <c r="O40" i="34"/>
  <c r="Q42" i="34"/>
  <c r="P43" i="34"/>
  <c r="O44" i="34"/>
  <c r="Q46" i="34"/>
  <c r="P47" i="34"/>
  <c r="O48" i="34"/>
  <c r="Q50" i="34"/>
  <c r="P51" i="34"/>
  <c r="O64" i="34"/>
  <c r="Q66" i="34"/>
  <c r="P67" i="34"/>
  <c r="O68" i="34"/>
  <c r="Q70" i="34"/>
  <c r="O81" i="34"/>
  <c r="Q83" i="34"/>
  <c r="Q87" i="34"/>
  <c r="P88" i="34"/>
  <c r="O89" i="34"/>
  <c r="Q91" i="34"/>
  <c r="P92" i="34"/>
  <c r="O93" i="34"/>
  <c r="Q95" i="34"/>
  <c r="P96" i="34"/>
  <c r="P100" i="34"/>
  <c r="Q103" i="34"/>
  <c r="P104" i="34"/>
  <c r="O105" i="34"/>
  <c r="Q107" i="34"/>
  <c r="Q111" i="34"/>
  <c r="P112" i="34"/>
  <c r="O113" i="34"/>
  <c r="Q115" i="34"/>
  <c r="P116" i="34"/>
  <c r="O117" i="34"/>
  <c r="Q123" i="34"/>
  <c r="Q127" i="34"/>
  <c r="O129" i="34"/>
  <c r="Q131" i="34"/>
  <c r="P132" i="34"/>
  <c r="O133" i="34"/>
  <c r="Q135" i="34"/>
  <c r="O137" i="34"/>
  <c r="Q139" i="34"/>
  <c r="Q122" i="34"/>
  <c r="P123" i="34"/>
  <c r="Q134" i="34"/>
  <c r="P135" i="34"/>
  <c r="Q137" i="34"/>
  <c r="P138" i="34"/>
  <c r="O139" i="34"/>
  <c r="O140" i="34"/>
  <c r="Q142" i="34"/>
  <c r="P143" i="34"/>
  <c r="O144" i="34"/>
  <c r="Q146" i="34"/>
  <c r="P147" i="34"/>
  <c r="O148" i="34"/>
  <c r="Q150" i="34"/>
  <c r="P151" i="34"/>
  <c r="O152" i="34"/>
  <c r="Q154" i="34"/>
  <c r="P155" i="34"/>
  <c r="O156" i="34"/>
  <c r="Q158" i="34"/>
  <c r="P159" i="34"/>
  <c r="O160" i="34"/>
  <c r="Q162" i="34"/>
  <c r="P163" i="34"/>
  <c r="O164" i="34"/>
  <c r="Q166" i="34"/>
  <c r="P167" i="34"/>
  <c r="O168" i="34"/>
  <c r="Q170" i="34"/>
  <c r="P171" i="34"/>
  <c r="Q174" i="34"/>
  <c r="P175" i="34"/>
  <c r="O176" i="34"/>
  <c r="Q178" i="34"/>
  <c r="P183" i="34"/>
  <c r="O184" i="34"/>
  <c r="Q186" i="34"/>
  <c r="P187" i="34"/>
  <c r="Q190" i="34"/>
  <c r="P191" i="34"/>
  <c r="P195" i="34"/>
  <c r="O196" i="34"/>
  <c r="Q198" i="34"/>
  <c r="O200" i="34"/>
  <c r="P203" i="34"/>
  <c r="Q206" i="34"/>
  <c r="O212" i="34"/>
  <c r="O220" i="34"/>
  <c r="P223" i="34"/>
  <c r="O228" i="34"/>
  <c r="O236" i="34"/>
  <c r="P126" i="34"/>
  <c r="O127" i="34"/>
  <c r="P129" i="34"/>
  <c r="O130" i="34"/>
  <c r="Q138" i="34"/>
  <c r="P139" i="34"/>
  <c r="P140" i="34"/>
  <c r="O141" i="34"/>
  <c r="Q143" i="34"/>
  <c r="P144" i="34"/>
  <c r="O145" i="34"/>
  <c r="Q147" i="34"/>
  <c r="P148" i="34"/>
  <c r="O149" i="34"/>
  <c r="Q151" i="34"/>
  <c r="P152" i="34"/>
  <c r="O153" i="34"/>
  <c r="Q155" i="34"/>
  <c r="P156" i="34"/>
  <c r="O157" i="34"/>
  <c r="Q159" i="34"/>
  <c r="P160" i="34"/>
  <c r="O161" i="34"/>
  <c r="Q163" i="34"/>
  <c r="P164" i="34"/>
  <c r="O165" i="34"/>
  <c r="Q167" i="34"/>
  <c r="P168" i="34"/>
  <c r="O169" i="34"/>
  <c r="Q171" i="34"/>
  <c r="O173" i="34"/>
  <c r="Q175" i="34"/>
  <c r="P176" i="34"/>
  <c r="O177" i="34"/>
  <c r="Q183" i="34"/>
  <c r="P184" i="34"/>
  <c r="O185" i="34"/>
  <c r="Q187" i="34"/>
  <c r="O189" i="34"/>
  <c r="Q191" i="34"/>
  <c r="Q195" i="34"/>
  <c r="P196" i="34"/>
  <c r="O197" i="34"/>
  <c r="P200" i="34"/>
  <c r="O201" i="34"/>
  <c r="Q203" i="34"/>
  <c r="O205" i="34"/>
  <c r="O209" i="34"/>
  <c r="P212" i="34"/>
  <c r="P220" i="34"/>
  <c r="Q223" i="34"/>
  <c r="P228" i="34"/>
  <c r="Q126" i="34"/>
  <c r="P127" i="34"/>
  <c r="Q129" i="34"/>
  <c r="P130" i="34"/>
  <c r="O131" i="34"/>
  <c r="O132" i="34"/>
  <c r="P133" i="34"/>
  <c r="O134" i="34"/>
  <c r="Q140" i="34"/>
  <c r="P141" i="34"/>
  <c r="O142" i="34"/>
  <c r="Q144" i="34"/>
  <c r="P145" i="34"/>
  <c r="O146" i="34"/>
  <c r="Q148" i="34"/>
  <c r="P149" i="34"/>
  <c r="O150" i="34"/>
  <c r="Q152" i="34"/>
  <c r="P153" i="34"/>
  <c r="O154" i="34"/>
  <c r="Q156" i="34"/>
  <c r="P157" i="34"/>
  <c r="O158" i="34"/>
  <c r="Q160" i="34"/>
  <c r="P161" i="34"/>
  <c r="O162" i="34"/>
  <c r="Q164" i="34"/>
  <c r="P165" i="34"/>
  <c r="O166" i="34"/>
  <c r="Q168" i="34"/>
  <c r="P169" i="34"/>
  <c r="O170" i="34"/>
  <c r="P173" i="34"/>
  <c r="O174" i="34"/>
  <c r="Q176" i="34"/>
  <c r="P177" i="34"/>
  <c r="O178" i="34"/>
  <c r="Q184" i="34"/>
  <c r="P185" i="34"/>
  <c r="O186" i="34"/>
  <c r="P189" i="34"/>
  <c r="O190" i="34"/>
  <c r="Q196" i="34"/>
  <c r="P197" i="34"/>
  <c r="O198" i="34"/>
  <c r="Q200" i="34"/>
  <c r="P201" i="34"/>
  <c r="P205" i="34"/>
  <c r="O206" i="34"/>
  <c r="P209" i="34"/>
  <c r="Q212" i="34"/>
  <c r="Q220" i="34"/>
  <c r="Q228" i="34"/>
  <c r="P122" i="34"/>
  <c r="O123" i="34"/>
  <c r="Q130" i="34"/>
  <c r="P131" i="34"/>
  <c r="Q132" i="34"/>
  <c r="Q133" i="34"/>
  <c r="P134" i="34"/>
  <c r="O135" i="34"/>
  <c r="P137" i="34"/>
  <c r="O138" i="34"/>
  <c r="Q141" i="34"/>
  <c r="P142" i="34"/>
  <c r="O143" i="34"/>
  <c r="Q145" i="34"/>
  <c r="P146" i="34"/>
  <c r="O147" i="34"/>
  <c r="Q149" i="34"/>
  <c r="P150" i="34"/>
  <c r="O151" i="34"/>
  <c r="Q153" i="34"/>
  <c r="P154" i="34"/>
  <c r="O155" i="34"/>
  <c r="Q157" i="34"/>
  <c r="P158" i="34"/>
  <c r="O159" i="34"/>
  <c r="Q161" i="34"/>
  <c r="P162" i="34"/>
  <c r="O163" i="34"/>
  <c r="Q165" i="34"/>
  <c r="P166" i="34"/>
  <c r="O167" i="34"/>
  <c r="Q169" i="34"/>
  <c r="P170" i="34"/>
  <c r="O171" i="34"/>
  <c r="Q173" i="34"/>
  <c r="P174" i="34"/>
  <c r="O175" i="34"/>
  <c r="Q177" i="34"/>
  <c r="P178" i="34"/>
  <c r="O183" i="34"/>
  <c r="Q185" i="34"/>
  <c r="P186" i="34"/>
  <c r="O187" i="34"/>
  <c r="Q189" i="34"/>
  <c r="P190" i="34"/>
  <c r="O191" i="34"/>
  <c r="O195" i="34"/>
  <c r="Q197" i="34"/>
  <c r="P198" i="34"/>
  <c r="Q201" i="34"/>
  <c r="O203" i="34"/>
  <c r="Q205" i="34"/>
  <c r="P206" i="34"/>
  <c r="Q209" i="34"/>
  <c r="O223" i="34"/>
  <c r="Q245" i="34"/>
  <c r="P246" i="34"/>
  <c r="O247" i="34"/>
  <c r="Q249" i="34"/>
  <c r="P250" i="34"/>
  <c r="O251" i="34"/>
  <c r="Q253" i="34"/>
  <c r="P254" i="34"/>
  <c r="O255" i="34"/>
  <c r="Q257" i="34"/>
  <c r="P258" i="34"/>
  <c r="O259" i="34"/>
  <c r="Q261" i="34"/>
  <c r="P262" i="34"/>
  <c r="O263" i="34"/>
  <c r="Q265" i="34"/>
  <c r="P266" i="34"/>
  <c r="O267" i="34"/>
  <c r="Q269" i="34"/>
  <c r="P270" i="34"/>
  <c r="Q236" i="34"/>
  <c r="Q248" i="34"/>
  <c r="P249" i="34"/>
  <c r="Q250" i="34"/>
  <c r="Q251" i="34"/>
  <c r="P252" i="34"/>
  <c r="O253" i="34"/>
  <c r="O254" i="34"/>
  <c r="P255" i="34"/>
  <c r="O256" i="34"/>
  <c r="Q264" i="34"/>
  <c r="P265" i="34"/>
  <c r="Q266" i="34"/>
  <c r="Q267" i="34"/>
  <c r="P268" i="34"/>
  <c r="O269" i="34"/>
  <c r="O270" i="34"/>
  <c r="O271" i="34"/>
  <c r="Q273" i="34"/>
  <c r="P274" i="34"/>
  <c r="O275" i="34"/>
  <c r="Q277" i="34"/>
  <c r="P278" i="34"/>
  <c r="O279" i="34"/>
  <c r="Q281" i="34"/>
  <c r="O283" i="34"/>
  <c r="Q285" i="34"/>
  <c r="P286" i="34"/>
  <c r="O287" i="34"/>
  <c r="Q289" i="34"/>
  <c r="P290" i="34"/>
  <c r="P294" i="34"/>
  <c r="O295" i="34"/>
  <c r="P298" i="34"/>
  <c r="P302" i="34"/>
  <c r="P306" i="34"/>
  <c r="Q309" i="34"/>
  <c r="P314" i="34"/>
  <c r="P318" i="34"/>
  <c r="P322" i="34"/>
  <c r="Q325" i="34"/>
  <c r="P323" i="34"/>
  <c r="Q252" i="34"/>
  <c r="P253" i="34"/>
  <c r="Q254" i="34"/>
  <c r="Q255" i="34"/>
  <c r="P256" i="34"/>
  <c r="O257" i="34"/>
  <c r="O258" i="34"/>
  <c r="P259" i="34"/>
  <c r="O260" i="34"/>
  <c r="Q268" i="34"/>
  <c r="P269" i="34"/>
  <c r="Q270" i="34"/>
  <c r="P271" i="34"/>
  <c r="O272" i="34"/>
  <c r="Q274" i="34"/>
  <c r="P275" i="34"/>
  <c r="O276" i="34"/>
  <c r="Q278" i="34"/>
  <c r="P279" i="34"/>
  <c r="O280" i="34"/>
  <c r="Q282" i="34"/>
  <c r="P283" i="34"/>
  <c r="O284" i="34"/>
  <c r="Q286" i="34"/>
  <c r="P287" i="34"/>
  <c r="O288" i="34"/>
  <c r="Q290" i="34"/>
  <c r="Q294" i="34"/>
  <c r="P295" i="34"/>
  <c r="O296" i="34"/>
  <c r="Q298" i="34"/>
  <c r="P299" i="34"/>
  <c r="O300" i="34"/>
  <c r="Q302" i="34"/>
  <c r="P303" i="34"/>
  <c r="O304" i="34"/>
  <c r="Q306" i="34"/>
  <c r="P307" i="34"/>
  <c r="O308" i="34"/>
  <c r="Q310" i="34"/>
  <c r="P311" i="34"/>
  <c r="O312" i="34"/>
  <c r="Q314" i="34"/>
  <c r="P315" i="34"/>
  <c r="O316" i="34"/>
  <c r="Q318" i="34"/>
  <c r="P319" i="34"/>
  <c r="O320" i="34"/>
  <c r="O245" i="34"/>
  <c r="O246" i="34"/>
  <c r="P247" i="34"/>
  <c r="O248" i="34"/>
  <c r="Q256" i="34"/>
  <c r="P257" i="34"/>
  <c r="Q258" i="34"/>
  <c r="Q259" i="34"/>
  <c r="P260" i="34"/>
  <c r="O261" i="34"/>
  <c r="O262" i="34"/>
  <c r="P263" i="34"/>
  <c r="O264" i="34"/>
  <c r="Q271" i="34"/>
  <c r="P272" i="34"/>
  <c r="O273" i="34"/>
  <c r="Q275" i="34"/>
  <c r="P276" i="34"/>
  <c r="O277" i="34"/>
  <c r="Q279" i="34"/>
  <c r="P280" i="34"/>
  <c r="O281" i="34"/>
  <c r="Q283" i="34"/>
  <c r="P284" i="34"/>
  <c r="O285" i="34"/>
  <c r="Q287" i="34"/>
  <c r="P288" i="34"/>
  <c r="O289" i="34"/>
  <c r="Q295" i="34"/>
  <c r="P296" i="34"/>
  <c r="O297" i="34"/>
  <c r="Q299" i="34"/>
  <c r="P300" i="34"/>
  <c r="O301" i="34"/>
  <c r="Q303" i="34"/>
  <c r="P304" i="34"/>
  <c r="O305" i="34"/>
  <c r="Q307" i="34"/>
  <c r="P308" i="34"/>
  <c r="O309" i="34"/>
  <c r="Q311" i="34"/>
  <c r="P312" i="34"/>
  <c r="O313" i="34"/>
  <c r="Q315" i="34"/>
  <c r="P316" i="34"/>
  <c r="O317" i="34"/>
  <c r="Q319" i="34"/>
  <c r="P320" i="34"/>
  <c r="O321" i="34"/>
  <c r="Q323" i="34"/>
  <c r="P324" i="34"/>
  <c r="O325" i="34"/>
  <c r="P236" i="34"/>
  <c r="P245" i="34"/>
  <c r="Q246" i="34"/>
  <c r="Q247" i="34"/>
  <c r="P248" i="34"/>
  <c r="O249" i="34"/>
  <c r="O250" i="34"/>
  <c r="P251" i="34"/>
  <c r="O252" i="34"/>
  <c r="Q260" i="34"/>
  <c r="P261" i="34"/>
  <c r="Q262" i="34"/>
  <c r="Q263" i="34"/>
  <c r="P264" i="34"/>
  <c r="O265" i="34"/>
  <c r="O266" i="34"/>
  <c r="P267" i="34"/>
  <c r="O268" i="34"/>
  <c r="Q272" i="34"/>
  <c r="P273" i="34"/>
  <c r="O274" i="34"/>
  <c r="Q276" i="34"/>
  <c r="P277" i="34"/>
  <c r="O278" i="34"/>
  <c r="Q280" i="34"/>
  <c r="P281" i="34"/>
  <c r="O282" i="34"/>
  <c r="Q284" i="34"/>
  <c r="P285" i="34"/>
  <c r="O286" i="34"/>
  <c r="Q288" i="34"/>
  <c r="P289" i="34"/>
  <c r="O290" i="34"/>
  <c r="O294" i="34"/>
  <c r="Q296" i="34"/>
  <c r="P297" i="34"/>
  <c r="O298" i="34"/>
  <c r="Q300" i="34"/>
  <c r="P301" i="34"/>
  <c r="O302" i="34"/>
  <c r="Q304" i="34"/>
  <c r="P305" i="34"/>
  <c r="O306" i="34"/>
  <c r="Q308" i="34"/>
  <c r="P309" i="34"/>
  <c r="O310" i="34"/>
  <c r="Q312" i="34"/>
  <c r="P313" i="34"/>
  <c r="O314" i="34"/>
  <c r="Q316" i="34"/>
  <c r="P317" i="34"/>
  <c r="O318" i="34"/>
  <c r="Q320" i="34"/>
  <c r="P321" i="34"/>
  <c r="O322" i="34"/>
  <c r="Q324" i="34"/>
  <c r="P325" i="34"/>
  <c r="P282" i="34"/>
  <c r="Q297" i="34"/>
  <c r="O299" i="34"/>
  <c r="Q301" i="34"/>
  <c r="O303" i="34"/>
  <c r="Q305" i="34"/>
  <c r="O307" i="34"/>
  <c r="P310" i="34"/>
  <c r="O311" i="34"/>
  <c r="Q313" i="34"/>
  <c r="O315" i="34"/>
  <c r="Q317" i="34"/>
  <c r="O319" i="34"/>
  <c r="Q321" i="34"/>
  <c r="O323" i="34"/>
  <c r="Q322" i="34"/>
  <c r="O324" i="34"/>
  <c r="Q18" i="34"/>
  <c r="O18" i="34"/>
  <c r="P18" i="34"/>
  <c r="P14" i="34"/>
  <c r="Q14" i="34"/>
  <c r="O14" i="3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B37" i="14"/>
  <c r="G37" i="14"/>
  <c r="C38" i="14"/>
  <c r="H38" i="14"/>
  <c r="D39" i="14"/>
  <c r="E40" i="14"/>
  <c r="C42" i="14"/>
  <c r="A44" i="14"/>
  <c r="C46" i="14"/>
  <c r="A48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B41" i="14"/>
  <c r="H42" i="14"/>
  <c r="B45" i="14"/>
  <c r="H46" i="14"/>
  <c r="B49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K19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16" i="70"/>
  <c r="C16" i="70"/>
  <c r="B222" i="34" l="1"/>
  <c r="B226" i="34"/>
  <c r="B227" i="34"/>
  <c r="B74" i="34"/>
  <c r="B124" i="34"/>
  <c r="B207" i="34"/>
  <c r="B208" i="34"/>
  <c r="A207" i="34" l="1"/>
  <c r="U207" i="34"/>
  <c r="Z207" i="34"/>
  <c r="W207" i="34"/>
  <c r="P207" i="34"/>
  <c r="O207" i="34"/>
  <c r="Q207" i="34"/>
  <c r="A74" i="34"/>
  <c r="U74" i="34"/>
  <c r="Z74" i="34"/>
  <c r="W74" i="34"/>
  <c r="P74" i="34"/>
  <c r="Q74" i="34"/>
  <c r="O74" i="34"/>
  <c r="A208" i="34"/>
  <c r="Z208" i="34"/>
  <c r="W208" i="34"/>
  <c r="U208" i="34"/>
  <c r="O208" i="34"/>
  <c r="Q208" i="34"/>
  <c r="P208" i="34"/>
  <c r="A227" i="34"/>
  <c r="U227" i="34"/>
  <c r="Z227" i="34"/>
  <c r="W227" i="34"/>
  <c r="P227" i="34"/>
  <c r="O227" i="34"/>
  <c r="Q227" i="34"/>
  <c r="A226" i="34"/>
  <c r="Z226" i="34"/>
  <c r="W226" i="34"/>
  <c r="U226" i="34"/>
  <c r="O226" i="34"/>
  <c r="Q226" i="34"/>
  <c r="P226" i="34"/>
  <c r="A124" i="34"/>
  <c r="U124" i="34"/>
  <c r="Z124" i="34"/>
  <c r="W124" i="34"/>
  <c r="Q124" i="34"/>
  <c r="O124" i="34"/>
  <c r="P124" i="34"/>
  <c r="A222" i="34"/>
  <c r="Z222" i="34"/>
  <c r="W222" i="34"/>
  <c r="U222" i="34"/>
  <c r="Q222" i="34"/>
  <c r="P222" i="34"/>
  <c r="O222" i="34"/>
  <c r="B109" i="34"/>
  <c r="B118" i="34"/>
  <c r="B119" i="34"/>
  <c r="B120" i="34"/>
  <c r="B121" i="34"/>
  <c r="B217" i="34"/>
  <c r="B218" i="34"/>
  <c r="B219" i="34"/>
  <c r="B221" i="34"/>
  <c r="B72" i="34"/>
  <c r="B73" i="34"/>
  <c r="B79" i="34"/>
  <c r="B80" i="34"/>
  <c r="B85" i="34"/>
  <c r="B97" i="34"/>
  <c r="B98" i="34"/>
  <c r="B99" i="34"/>
  <c r="B108" i="34"/>
  <c r="B63" i="34"/>
  <c r="B194" i="34"/>
  <c r="B62" i="34"/>
  <c r="B136" i="34"/>
  <c r="B128" i="34"/>
  <c r="B293" i="34"/>
  <c r="B193" i="34"/>
  <c r="B240" i="34"/>
  <c r="B232" i="34"/>
  <c r="B213" i="34"/>
  <c r="B214" i="34"/>
  <c r="B243" i="34"/>
  <c r="B244" i="34"/>
  <c r="B230" i="34"/>
  <c r="B231" i="34"/>
  <c r="B224" i="34"/>
  <c r="B55" i="34"/>
  <c r="B56" i="34"/>
  <c r="B242" i="34"/>
  <c r="B291" i="34"/>
  <c r="B292" i="34"/>
  <c r="B52" i="34"/>
  <c r="B181" i="34"/>
  <c r="B199" i="34"/>
  <c r="B180" i="34"/>
  <c r="B188" i="34"/>
  <c r="B76" i="34"/>
  <c r="B77" i="34"/>
  <c r="B84" i="34"/>
  <c r="B101" i="34"/>
  <c r="B71" i="34"/>
  <c r="B75" i="34"/>
  <c r="B204" i="34"/>
  <c r="B241" i="34"/>
  <c r="B210" i="34"/>
  <c r="B27" i="34"/>
  <c r="B32" i="34"/>
  <c r="B225" i="34"/>
  <c r="B239" i="34"/>
  <c r="B233" i="34"/>
  <c r="B234" i="34"/>
  <c r="B235" i="34"/>
  <c r="B192" i="34"/>
  <c r="B179" i="34"/>
  <c r="B211" i="34"/>
  <c r="B53" i="34"/>
  <c r="B54" i="34"/>
  <c r="B58" i="34"/>
  <c r="B59" i="34"/>
  <c r="B229" i="34"/>
  <c r="B237" i="34"/>
  <c r="B238" i="34"/>
  <c r="A293" i="34" l="1"/>
  <c r="Z293" i="34"/>
  <c r="W293" i="34"/>
  <c r="U293" i="34"/>
  <c r="O293" i="34"/>
  <c r="Q293" i="34"/>
  <c r="P293" i="34"/>
  <c r="A292" i="34"/>
  <c r="Z292" i="34"/>
  <c r="W292" i="34"/>
  <c r="U292" i="34"/>
  <c r="O292" i="34"/>
  <c r="Q292" i="34"/>
  <c r="P292" i="34"/>
  <c r="A291" i="34"/>
  <c r="Z291" i="34"/>
  <c r="W291" i="34"/>
  <c r="U291" i="34"/>
  <c r="O291" i="34"/>
  <c r="Q291" i="34"/>
  <c r="P291" i="34"/>
  <c r="A237" i="34"/>
  <c r="T237" i="34"/>
  <c r="U237" i="34"/>
  <c r="R237" i="34"/>
  <c r="Z237" i="34"/>
  <c r="S237" i="34"/>
  <c r="W237" i="34"/>
  <c r="O237" i="34"/>
  <c r="Q237" i="34"/>
  <c r="P237" i="34"/>
  <c r="A239" i="34"/>
  <c r="U239" i="34"/>
  <c r="Z239" i="34"/>
  <c r="W239" i="34"/>
  <c r="P239" i="34"/>
  <c r="O239" i="34"/>
  <c r="Q239" i="34"/>
  <c r="A76" i="34"/>
  <c r="U76" i="34"/>
  <c r="R76" i="34"/>
  <c r="Z76" i="34"/>
  <c r="S76" i="34"/>
  <c r="W76" i="34"/>
  <c r="T76" i="34"/>
  <c r="Q76" i="34"/>
  <c r="P76" i="34"/>
  <c r="O76" i="34"/>
  <c r="A231" i="34"/>
  <c r="U231" i="34"/>
  <c r="Z231" i="34"/>
  <c r="W231" i="34"/>
  <c r="Q231" i="34"/>
  <c r="P231" i="34"/>
  <c r="O231" i="34"/>
  <c r="A229" i="34"/>
  <c r="T229" i="34"/>
  <c r="U229" i="34"/>
  <c r="R229" i="34"/>
  <c r="Z229" i="34"/>
  <c r="S229" i="34"/>
  <c r="W229" i="34"/>
  <c r="Q229" i="34"/>
  <c r="P229" i="34"/>
  <c r="O229" i="34"/>
  <c r="A53" i="34"/>
  <c r="W53" i="34"/>
  <c r="U53" i="34"/>
  <c r="Z53" i="34"/>
  <c r="O53" i="34"/>
  <c r="Q53" i="34"/>
  <c r="P53" i="34"/>
  <c r="A225" i="34"/>
  <c r="U225" i="34"/>
  <c r="Z225" i="34"/>
  <c r="W225" i="34"/>
  <c r="O225" i="34"/>
  <c r="Q225" i="34"/>
  <c r="P225" i="34"/>
  <c r="A241" i="34"/>
  <c r="U241" i="34"/>
  <c r="Z241" i="34"/>
  <c r="W241" i="34"/>
  <c r="Q241" i="34"/>
  <c r="O241" i="34"/>
  <c r="P241" i="34"/>
  <c r="A188" i="34"/>
  <c r="U188" i="34"/>
  <c r="R188" i="34"/>
  <c r="Z188" i="34"/>
  <c r="T188" i="34"/>
  <c r="W188" i="34"/>
  <c r="S188" i="34"/>
  <c r="P188" i="34"/>
  <c r="O188" i="34"/>
  <c r="Q188" i="34"/>
  <c r="A56" i="34"/>
  <c r="U56" i="34"/>
  <c r="Z56" i="34"/>
  <c r="W56" i="34"/>
  <c r="O56" i="34"/>
  <c r="Q56" i="34"/>
  <c r="P56" i="34"/>
  <c r="A213" i="34"/>
  <c r="U213" i="34"/>
  <c r="Z213" i="34"/>
  <c r="W213" i="34"/>
  <c r="Q213" i="34"/>
  <c r="P213" i="34"/>
  <c r="O213" i="34"/>
  <c r="A98" i="34"/>
  <c r="W98" i="34"/>
  <c r="U98" i="34"/>
  <c r="Z98" i="34"/>
  <c r="P98" i="34"/>
  <c r="O98" i="34"/>
  <c r="Q98" i="34"/>
  <c r="A219" i="34"/>
  <c r="U219" i="34"/>
  <c r="Z219" i="34"/>
  <c r="W219" i="34"/>
  <c r="P219" i="34"/>
  <c r="O219" i="34"/>
  <c r="Q219" i="34"/>
  <c r="A59" i="34"/>
  <c r="W59" i="34"/>
  <c r="U59" i="34"/>
  <c r="Z59" i="34"/>
  <c r="Q59" i="34"/>
  <c r="O59" i="34"/>
  <c r="P59" i="34"/>
  <c r="A211" i="34"/>
  <c r="U211" i="34"/>
  <c r="Z211" i="34"/>
  <c r="W211" i="34"/>
  <c r="P211" i="34"/>
  <c r="O211" i="34"/>
  <c r="Q211" i="34"/>
  <c r="A234" i="34"/>
  <c r="Z234" i="34"/>
  <c r="W234" i="34"/>
  <c r="U234" i="34"/>
  <c r="O234" i="34"/>
  <c r="Q234" i="34"/>
  <c r="P234" i="34"/>
  <c r="A32" i="34"/>
  <c r="U32" i="34"/>
  <c r="R32" i="34"/>
  <c r="Z32" i="34"/>
  <c r="S32" i="34"/>
  <c r="W32" i="34"/>
  <c r="T32" i="34"/>
  <c r="P32" i="34"/>
  <c r="O32" i="34"/>
  <c r="Q32" i="34"/>
  <c r="A204" i="34"/>
  <c r="Z204" i="34"/>
  <c r="W204" i="34"/>
  <c r="U204" i="34"/>
  <c r="P204" i="34"/>
  <c r="O204" i="34"/>
  <c r="Q204" i="34"/>
  <c r="A84" i="34"/>
  <c r="S84" i="34"/>
  <c r="W84" i="34"/>
  <c r="T84" i="34"/>
  <c r="U84" i="34"/>
  <c r="R84" i="34"/>
  <c r="Z84" i="34"/>
  <c r="P84" i="34"/>
  <c r="Q84" i="34"/>
  <c r="O84" i="34"/>
  <c r="A180" i="34"/>
  <c r="U180" i="34"/>
  <c r="R180" i="34"/>
  <c r="Z180" i="34"/>
  <c r="S180" i="34"/>
  <c r="W180" i="34"/>
  <c r="T180" i="34"/>
  <c r="O180" i="34"/>
  <c r="Q180" i="34"/>
  <c r="P180" i="34"/>
  <c r="A55" i="34"/>
  <c r="W55" i="34"/>
  <c r="U55" i="34"/>
  <c r="Z55" i="34"/>
  <c r="Q55" i="34"/>
  <c r="O55" i="34"/>
  <c r="P55" i="34"/>
  <c r="A244" i="34"/>
  <c r="W244" i="34"/>
  <c r="U244" i="34"/>
  <c r="Z244" i="34"/>
  <c r="O244" i="34"/>
  <c r="P244" i="34"/>
  <c r="Q244" i="34"/>
  <c r="A232" i="34"/>
  <c r="Z232" i="34"/>
  <c r="W232" i="34"/>
  <c r="U232" i="34"/>
  <c r="O232" i="34"/>
  <c r="P232" i="34"/>
  <c r="Q232" i="34"/>
  <c r="A128" i="34"/>
  <c r="U128" i="34"/>
  <c r="Z128" i="34"/>
  <c r="W128" i="34"/>
  <c r="Q128" i="34"/>
  <c r="P128" i="34"/>
  <c r="O128" i="34"/>
  <c r="A63" i="34"/>
  <c r="W63" i="34"/>
  <c r="U63" i="34"/>
  <c r="Z63" i="34"/>
  <c r="O63" i="34"/>
  <c r="P63" i="34"/>
  <c r="Q63" i="34"/>
  <c r="A97" i="34"/>
  <c r="U97" i="34"/>
  <c r="Z97" i="34"/>
  <c r="W97" i="34"/>
  <c r="P97" i="34"/>
  <c r="O97" i="34"/>
  <c r="Q97" i="34"/>
  <c r="A73" i="34"/>
  <c r="W73" i="34"/>
  <c r="U73" i="34"/>
  <c r="Z73" i="34"/>
  <c r="P73" i="34"/>
  <c r="O73" i="34"/>
  <c r="Q73" i="34"/>
  <c r="A218" i="34"/>
  <c r="Z218" i="34"/>
  <c r="W218" i="34"/>
  <c r="U218" i="34"/>
  <c r="Q218" i="34"/>
  <c r="P218" i="34"/>
  <c r="O218" i="34"/>
  <c r="A119" i="34"/>
  <c r="W119" i="34"/>
  <c r="U119" i="34"/>
  <c r="Z119" i="34"/>
  <c r="P119" i="34"/>
  <c r="Q119" i="34"/>
  <c r="O119" i="34"/>
  <c r="A179" i="34"/>
  <c r="W179" i="34"/>
  <c r="U179" i="34"/>
  <c r="Z179" i="34"/>
  <c r="P179" i="34"/>
  <c r="O179" i="34"/>
  <c r="Q179" i="34"/>
  <c r="A233" i="34"/>
  <c r="U233" i="34"/>
  <c r="Z233" i="34"/>
  <c r="W233" i="34"/>
  <c r="Q233" i="34"/>
  <c r="O233" i="34"/>
  <c r="P233" i="34"/>
  <c r="A27" i="34"/>
  <c r="S27" i="34"/>
  <c r="W27" i="34"/>
  <c r="T27" i="34"/>
  <c r="U27" i="34"/>
  <c r="R27" i="34"/>
  <c r="Z27" i="34"/>
  <c r="Q27" i="34"/>
  <c r="O27" i="34"/>
  <c r="P27" i="34"/>
  <c r="A75" i="34"/>
  <c r="S75" i="34"/>
  <c r="W75" i="34"/>
  <c r="T75" i="34"/>
  <c r="U75" i="34"/>
  <c r="R75" i="34"/>
  <c r="Z75" i="34"/>
  <c r="Q75" i="34"/>
  <c r="O75" i="34"/>
  <c r="P75" i="34"/>
  <c r="A77" i="34"/>
  <c r="S77" i="34"/>
  <c r="W77" i="34"/>
  <c r="T77" i="34"/>
  <c r="U77" i="34"/>
  <c r="R77" i="34"/>
  <c r="Z77" i="34"/>
  <c r="P77" i="34"/>
  <c r="O77" i="34"/>
  <c r="Q77" i="34"/>
  <c r="A199" i="34"/>
  <c r="T199" i="34"/>
  <c r="U199" i="34"/>
  <c r="R199" i="34"/>
  <c r="Z199" i="34"/>
  <c r="S199" i="34"/>
  <c r="W199" i="34"/>
  <c r="Q199" i="34"/>
  <c r="P199" i="34"/>
  <c r="O199" i="34"/>
  <c r="A224" i="34"/>
  <c r="Z224" i="34"/>
  <c r="W224" i="34"/>
  <c r="U224" i="34"/>
  <c r="O224" i="34"/>
  <c r="Q224" i="34"/>
  <c r="P224" i="34"/>
  <c r="A243" i="34"/>
  <c r="U243" i="34"/>
  <c r="Z243" i="34"/>
  <c r="W243" i="34"/>
  <c r="O243" i="34"/>
  <c r="P243" i="34"/>
  <c r="Q243" i="34"/>
  <c r="A240" i="34"/>
  <c r="W240" i="34"/>
  <c r="U240" i="34"/>
  <c r="Z240" i="34"/>
  <c r="P240" i="34"/>
  <c r="O240" i="34"/>
  <c r="Q240" i="34"/>
  <c r="A136" i="34"/>
  <c r="U136" i="34"/>
  <c r="Z136" i="34"/>
  <c r="W136" i="34"/>
  <c r="O136" i="34"/>
  <c r="P136" i="34"/>
  <c r="Q136" i="34"/>
  <c r="A108" i="34"/>
  <c r="U108" i="34"/>
  <c r="Z108" i="34"/>
  <c r="W108" i="34"/>
  <c r="Q108" i="34"/>
  <c r="O108" i="34"/>
  <c r="P108" i="34"/>
  <c r="A85" i="34"/>
  <c r="U85" i="34"/>
  <c r="Z85" i="34"/>
  <c r="W85" i="34"/>
  <c r="O85" i="34"/>
  <c r="Q85" i="34"/>
  <c r="P85" i="34"/>
  <c r="A72" i="34"/>
  <c r="U72" i="34"/>
  <c r="Z72" i="34"/>
  <c r="W72" i="34"/>
  <c r="O72" i="34"/>
  <c r="Q72" i="34"/>
  <c r="P72" i="34"/>
  <c r="A217" i="34"/>
  <c r="U217" i="34"/>
  <c r="Z217" i="34"/>
  <c r="W217" i="34"/>
  <c r="Q217" i="34"/>
  <c r="P217" i="34"/>
  <c r="O217" i="34"/>
  <c r="A118" i="34"/>
  <c r="U118" i="34"/>
  <c r="Z118" i="34"/>
  <c r="W118" i="34"/>
  <c r="O118" i="34"/>
  <c r="Q118" i="34"/>
  <c r="P118" i="34"/>
  <c r="A238" i="34"/>
  <c r="R238" i="34"/>
  <c r="S238" i="34"/>
  <c r="W238" i="34"/>
  <c r="T238" i="34"/>
  <c r="U238" i="34"/>
  <c r="Z238" i="34"/>
  <c r="Q238" i="34"/>
  <c r="P238" i="34"/>
  <c r="O238" i="34"/>
  <c r="A54" i="34"/>
  <c r="U54" i="34"/>
  <c r="Z54" i="34"/>
  <c r="W54" i="34"/>
  <c r="O54" i="34"/>
  <c r="P54" i="34"/>
  <c r="Q54" i="34"/>
  <c r="A71" i="34"/>
  <c r="S71" i="34"/>
  <c r="W71" i="34"/>
  <c r="T71" i="34"/>
  <c r="U71" i="34"/>
  <c r="R71" i="34"/>
  <c r="Z71" i="34"/>
  <c r="Q71" i="34"/>
  <c r="O71" i="34"/>
  <c r="P71" i="34"/>
  <c r="A242" i="34"/>
  <c r="Z242" i="34"/>
  <c r="W242" i="34"/>
  <c r="U242" i="34"/>
  <c r="Q242" i="34"/>
  <c r="P242" i="34"/>
  <c r="O242" i="34"/>
  <c r="A193" i="34"/>
  <c r="U193" i="34"/>
  <c r="Z193" i="34"/>
  <c r="W193" i="34"/>
  <c r="O193" i="34"/>
  <c r="Q193" i="34"/>
  <c r="P193" i="34"/>
  <c r="A62" i="34"/>
  <c r="U62" i="34"/>
  <c r="Z62" i="34"/>
  <c r="W62" i="34"/>
  <c r="Q62" i="34"/>
  <c r="O62" i="34"/>
  <c r="P62" i="34"/>
  <c r="A99" i="34"/>
  <c r="U99" i="34"/>
  <c r="W99" i="34"/>
  <c r="Z99" i="34"/>
  <c r="O99" i="34"/>
  <c r="P99" i="34"/>
  <c r="Q99" i="34"/>
  <c r="A80" i="34"/>
  <c r="W80" i="34"/>
  <c r="U80" i="34"/>
  <c r="Z80" i="34"/>
  <c r="O80" i="34"/>
  <c r="P80" i="34"/>
  <c r="Q80" i="34"/>
  <c r="A221" i="34"/>
  <c r="U221" i="34"/>
  <c r="Z221" i="34"/>
  <c r="W221" i="34"/>
  <c r="P221" i="34"/>
  <c r="O221" i="34"/>
  <c r="Q221" i="34"/>
  <c r="A121" i="34"/>
  <c r="W121" i="34"/>
  <c r="U121" i="34"/>
  <c r="Z121" i="34"/>
  <c r="O121" i="34"/>
  <c r="P121" i="34"/>
  <c r="Q121" i="34"/>
  <c r="A109" i="34"/>
  <c r="W109" i="34"/>
  <c r="U109" i="34"/>
  <c r="Z109" i="34"/>
  <c r="Q109" i="34"/>
  <c r="P109" i="34"/>
  <c r="O109" i="34"/>
  <c r="A58" i="34"/>
  <c r="U58" i="34"/>
  <c r="Z58" i="34"/>
  <c r="W58" i="34"/>
  <c r="P58" i="34"/>
  <c r="Q58" i="34"/>
  <c r="O58" i="34"/>
  <c r="A192" i="34"/>
  <c r="Z192" i="34"/>
  <c r="W192" i="34"/>
  <c r="U192" i="34"/>
  <c r="O192" i="34"/>
  <c r="Q192" i="34"/>
  <c r="P192" i="34"/>
  <c r="A210" i="34"/>
  <c r="Z210" i="34"/>
  <c r="W210" i="34"/>
  <c r="U210" i="34"/>
  <c r="O210" i="34"/>
  <c r="Q210" i="34"/>
  <c r="P210" i="34"/>
  <c r="A181" i="34"/>
  <c r="S181" i="34"/>
  <c r="W181" i="34"/>
  <c r="T181" i="34"/>
  <c r="U181" i="34"/>
  <c r="R181" i="34"/>
  <c r="Z181" i="34"/>
  <c r="Q181" i="34"/>
  <c r="P181" i="34"/>
  <c r="O181" i="34"/>
  <c r="A214" i="34"/>
  <c r="Z214" i="34"/>
  <c r="W214" i="34"/>
  <c r="U214" i="34"/>
  <c r="Q214" i="34"/>
  <c r="P214" i="34"/>
  <c r="O214" i="34"/>
  <c r="A235" i="34"/>
  <c r="U235" i="34"/>
  <c r="Z235" i="34"/>
  <c r="W235" i="34"/>
  <c r="P235" i="34"/>
  <c r="O235" i="34"/>
  <c r="Q235" i="34"/>
  <c r="A101" i="34"/>
  <c r="U101" i="34"/>
  <c r="S101" i="34"/>
  <c r="W101" i="34"/>
  <c r="T101" i="34"/>
  <c r="Z101" i="34"/>
  <c r="R101" i="34"/>
  <c r="O101" i="34"/>
  <c r="Q101" i="34"/>
  <c r="P101" i="34"/>
  <c r="A52" i="34"/>
  <c r="U52" i="34"/>
  <c r="Z52" i="34"/>
  <c r="W52" i="34"/>
  <c r="O52" i="34"/>
  <c r="Q52" i="34"/>
  <c r="P52" i="34"/>
  <c r="A230" i="34"/>
  <c r="Z230" i="34"/>
  <c r="W230" i="34"/>
  <c r="U230" i="34"/>
  <c r="Q230" i="34"/>
  <c r="P230" i="34"/>
  <c r="O230" i="34"/>
  <c r="A194" i="34"/>
  <c r="Z194" i="34"/>
  <c r="W194" i="34"/>
  <c r="U194" i="34"/>
  <c r="O194" i="34"/>
  <c r="Q194" i="34"/>
  <c r="P194" i="34"/>
  <c r="A79" i="34"/>
  <c r="U79" i="34"/>
  <c r="Z79" i="34"/>
  <c r="W79" i="34"/>
  <c r="Q79" i="34"/>
  <c r="O79" i="34"/>
  <c r="P79" i="34"/>
  <c r="A120" i="34"/>
  <c r="U120" i="34"/>
  <c r="Z120" i="34"/>
  <c r="W120" i="34"/>
  <c r="O120" i="34"/>
  <c r="Q120" i="34"/>
  <c r="P120" i="34"/>
  <c r="B216" i="34"/>
  <c r="B215" i="34"/>
  <c r="B172" i="34"/>
  <c r="B182" i="34"/>
  <c r="B125" i="34"/>
  <c r="A215" i="34" l="1"/>
  <c r="U215" i="34"/>
  <c r="Z215" i="34"/>
  <c r="W215" i="34"/>
  <c r="Q215" i="34"/>
  <c r="P215" i="34"/>
  <c r="O215" i="34"/>
  <c r="A125" i="34"/>
  <c r="S125" i="34"/>
  <c r="W125" i="34"/>
  <c r="T125" i="34"/>
  <c r="U125" i="34"/>
  <c r="R125" i="34"/>
  <c r="Z125" i="34"/>
  <c r="P125" i="34"/>
  <c r="Q125" i="34"/>
  <c r="O125" i="34"/>
  <c r="A216" i="34"/>
  <c r="Z216" i="34"/>
  <c r="W216" i="34"/>
  <c r="U216" i="34"/>
  <c r="O216" i="34"/>
  <c r="Q216" i="34"/>
  <c r="P216" i="34"/>
  <c r="A182" i="34"/>
  <c r="U182" i="34"/>
  <c r="Z182" i="34"/>
  <c r="W182" i="34"/>
  <c r="Q182" i="34"/>
  <c r="P182" i="34"/>
  <c r="O182" i="34"/>
  <c r="A172" i="34"/>
  <c r="U172" i="34"/>
  <c r="Z172" i="34"/>
  <c r="W172" i="34"/>
  <c r="P172" i="34"/>
  <c r="O172" i="34"/>
  <c r="Q172" i="34"/>
  <c r="A14" i="71"/>
  <c r="E37" i="71" s="1"/>
  <c r="A19" i="71"/>
  <c r="A20" i="71"/>
  <c r="A17" i="71"/>
  <c r="A18" i="71"/>
  <c r="A16" i="71"/>
  <c r="A15" i="71"/>
  <c r="T10" i="34"/>
  <c r="A36" i="71" l="1"/>
  <c r="H2" i="71"/>
  <c r="R10" i="34"/>
  <c r="E6" i="43" l="1"/>
  <c r="O8" i="43"/>
  <c r="N8" i="43"/>
  <c r="D13" i="15" l="1"/>
  <c r="C13" i="15"/>
  <c r="B57" i="34"/>
  <c r="B202" i="34"/>
  <c r="A202" i="34" l="1"/>
  <c r="Z202" i="34"/>
  <c r="W202" i="34"/>
  <c r="U202" i="34"/>
  <c r="Q202" i="34"/>
  <c r="P202" i="34"/>
  <c r="O202" i="34"/>
  <c r="A57" i="34"/>
  <c r="W57" i="34"/>
  <c r="U57" i="34"/>
  <c r="Z57" i="34"/>
  <c r="P57" i="34"/>
  <c r="O57" i="34"/>
  <c r="Q57" i="34"/>
  <c r="B60" i="34"/>
  <c r="C36" i="15"/>
  <c r="D36" i="15"/>
  <c r="C29" i="15"/>
  <c r="D29" i="15"/>
  <c r="D26" i="15"/>
  <c r="D27" i="15" s="1"/>
  <c r="C18" i="15"/>
  <c r="D18" i="15"/>
  <c r="D16" i="15"/>
  <c r="C16" i="15"/>
  <c r="D11" i="15"/>
  <c r="C11" i="15"/>
  <c r="A60" i="34" l="1"/>
  <c r="U60" i="34"/>
  <c r="Z60" i="34"/>
  <c r="W60" i="34"/>
  <c r="Q60" i="34"/>
  <c r="P60" i="34"/>
  <c r="O60" i="34"/>
  <c r="B25" i="34"/>
  <c r="A25" i="34" s="1"/>
  <c r="B24" i="34"/>
  <c r="A24" i="34" s="1"/>
  <c r="B23" i="34"/>
  <c r="A23" i="34" s="1"/>
  <c r="P25" i="34" l="1"/>
  <c r="Q25" i="34"/>
  <c r="U25" i="34"/>
  <c r="Z25" i="34"/>
  <c r="O25" i="34"/>
  <c r="W25" i="34"/>
  <c r="U24" i="34"/>
  <c r="Z24" i="34"/>
  <c r="W24" i="34"/>
  <c r="O24" i="34"/>
  <c r="P24" i="34"/>
  <c r="Q24" i="34"/>
  <c r="U23" i="34"/>
  <c r="Z23" i="34"/>
  <c r="P23" i="34"/>
  <c r="O23" i="34"/>
  <c r="Q23" i="34"/>
  <c r="I6" i="43" l="1"/>
  <c r="A8" i="12" l="1"/>
  <c r="H11" i="43" l="1"/>
  <c r="A12" i="43"/>
  <c r="G35" i="43" s="1"/>
  <c r="A7" i="60"/>
  <c r="A8" i="60" s="1"/>
  <c r="A9" i="60" s="1"/>
  <c r="A10" i="60" s="1"/>
  <c r="A11" i="60" s="1"/>
  <c r="A12" i="60" s="1"/>
  <c r="A13" i="60" s="1"/>
  <c r="A14" i="60" s="1"/>
  <c r="A15" i="60" s="1"/>
  <c r="A16" i="60" s="1"/>
  <c r="A19" i="60" s="1"/>
  <c r="A21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l="1"/>
  <c r="A33" i="60" s="1"/>
  <c r="A34" i="60" s="1"/>
  <c r="A35" i="60" s="1"/>
  <c r="F2" i="43"/>
  <c r="A34" i="43"/>
  <c r="K21" i="34"/>
  <c r="K20" i="34"/>
  <c r="K17" i="34"/>
  <c r="K11" i="34"/>
  <c r="K10" i="34" l="1"/>
  <c r="B11" i="34"/>
  <c r="U11" i="34" s="1"/>
  <c r="B12" i="34"/>
  <c r="B13" i="34"/>
  <c r="B15" i="34"/>
  <c r="B16" i="34"/>
  <c r="B22" i="34"/>
  <c r="A22" i="34" s="1"/>
  <c r="B17" i="34"/>
  <c r="A17" i="34" s="1"/>
  <c r="B19" i="34"/>
  <c r="A19" i="34" s="1"/>
  <c r="B20" i="34"/>
  <c r="A20" i="34" s="1"/>
  <c r="B21" i="34"/>
  <c r="A21" i="34" s="1"/>
  <c r="B10" i="34"/>
  <c r="U10" i="34" l="1"/>
  <c r="W10" i="34"/>
  <c r="U12" i="34"/>
  <c r="A12" i="34"/>
  <c r="U13" i="34"/>
  <c r="A13" i="34"/>
  <c r="U16" i="34"/>
  <c r="A16" i="34"/>
  <c r="U15" i="34"/>
  <c r="A15" i="34"/>
  <c r="U17" i="34"/>
  <c r="U21" i="34"/>
  <c r="U20" i="34"/>
  <c r="U19" i="34"/>
  <c r="U22" i="34"/>
  <c r="P15" i="34"/>
  <c r="Q15" i="34"/>
  <c r="O15" i="34"/>
  <c r="Z15" i="34"/>
  <c r="P17" i="34"/>
  <c r="Q17" i="34"/>
  <c r="O17" i="34"/>
  <c r="Z17" i="34"/>
  <c r="O13" i="34"/>
  <c r="Z13" i="34"/>
  <c r="P13" i="34"/>
  <c r="Q13" i="34"/>
  <c r="O19" i="34"/>
  <c r="Z19" i="34"/>
  <c r="P19" i="34"/>
  <c r="Q19" i="34"/>
  <c r="O21" i="34"/>
  <c r="Z21" i="34"/>
  <c r="P21" i="34"/>
  <c r="Q21" i="34"/>
  <c r="P22" i="34"/>
  <c r="Q22" i="34"/>
  <c r="O22" i="34"/>
  <c r="Z22" i="34"/>
  <c r="P12" i="34"/>
  <c r="Q12" i="34"/>
  <c r="O12" i="34"/>
  <c r="Z12" i="34"/>
  <c r="P20" i="34"/>
  <c r="Q20" i="34"/>
  <c r="O20" i="34"/>
  <c r="Z20" i="34"/>
  <c r="O16" i="34"/>
  <c r="Z16" i="34"/>
  <c r="P16" i="34"/>
  <c r="Q16" i="34"/>
  <c r="O11" i="34"/>
  <c r="Z11" i="34"/>
  <c r="P11" i="34"/>
  <c r="Q11" i="34"/>
  <c r="P10" i="34"/>
  <c r="Z10" i="34"/>
  <c r="O10" i="34"/>
  <c r="G7" i="57"/>
  <c r="D9" i="12"/>
  <c r="C9" i="12"/>
  <c r="A72" i="42" l="1"/>
  <c r="E72" i="42"/>
  <c r="A73" i="42"/>
  <c r="E73" i="42"/>
  <c r="A74" i="42"/>
  <c r="E74" i="42"/>
  <c r="A75" i="42"/>
  <c r="E75" i="42"/>
  <c r="A76" i="42"/>
  <c r="E76" i="42"/>
  <c r="A77" i="42"/>
  <c r="E77" i="42"/>
  <c r="A78" i="42"/>
  <c r="E78" i="42"/>
  <c r="B72" i="42"/>
  <c r="F72" i="42"/>
  <c r="B73" i="42"/>
  <c r="F73" i="42"/>
  <c r="B74" i="42"/>
  <c r="F74" i="42"/>
  <c r="B75" i="42"/>
  <c r="F75" i="42"/>
  <c r="B76" i="42"/>
  <c r="F76" i="42"/>
  <c r="B77" i="42"/>
  <c r="F77" i="42"/>
  <c r="B78" i="42"/>
  <c r="F78" i="42"/>
  <c r="C72" i="42"/>
  <c r="G72" i="42"/>
  <c r="C73" i="42"/>
  <c r="G73" i="42"/>
  <c r="C74" i="42"/>
  <c r="G74" i="42"/>
  <c r="C75" i="42"/>
  <c r="G75" i="42"/>
  <c r="C76" i="42"/>
  <c r="G76" i="42"/>
  <c r="C77" i="42"/>
  <c r="G77" i="42"/>
  <c r="C78" i="42"/>
  <c r="G78" i="42"/>
  <c r="D72" i="42"/>
  <c r="H72" i="42"/>
  <c r="D73" i="42"/>
  <c r="H73" i="42"/>
  <c r="D74" i="42"/>
  <c r="H74" i="42"/>
  <c r="D75" i="42"/>
  <c r="H75" i="42"/>
  <c r="D76" i="42"/>
  <c r="H76" i="42"/>
  <c r="D77" i="42"/>
  <c r="H77" i="42"/>
  <c r="D78" i="42"/>
  <c r="H78" i="42"/>
  <c r="A66" i="42"/>
  <c r="E66" i="42"/>
  <c r="A67" i="42"/>
  <c r="E67" i="42"/>
  <c r="A68" i="42"/>
  <c r="E68" i="42"/>
  <c r="A69" i="42"/>
  <c r="E69" i="42"/>
  <c r="A70" i="42"/>
  <c r="E70" i="42"/>
  <c r="A71" i="42"/>
  <c r="E71" i="42"/>
  <c r="H69" i="42"/>
  <c r="B66" i="42"/>
  <c r="F66" i="42"/>
  <c r="B67" i="42"/>
  <c r="F67" i="42"/>
  <c r="B68" i="42"/>
  <c r="F68" i="42"/>
  <c r="B69" i="42"/>
  <c r="F69" i="42"/>
  <c r="B70" i="42"/>
  <c r="F70" i="42"/>
  <c r="B71" i="42"/>
  <c r="F71" i="42"/>
  <c r="D70" i="42"/>
  <c r="C66" i="42"/>
  <c r="G66" i="42"/>
  <c r="C67" i="42"/>
  <c r="G67" i="42"/>
  <c r="C68" i="42"/>
  <c r="G68" i="42"/>
  <c r="C69" i="42"/>
  <c r="G69" i="42"/>
  <c r="C70" i="42"/>
  <c r="G70" i="42"/>
  <c r="C71" i="42"/>
  <c r="G71" i="42"/>
  <c r="D66" i="42"/>
  <c r="H66" i="42"/>
  <c r="D67" i="42"/>
  <c r="H67" i="42"/>
  <c r="D68" i="42"/>
  <c r="H68" i="42"/>
  <c r="D69" i="42"/>
  <c r="H70" i="42"/>
  <c r="D71" i="42"/>
  <c r="H71" i="42"/>
  <c r="A50" i="42"/>
  <c r="E50" i="42"/>
  <c r="A51" i="42"/>
  <c r="E51" i="42"/>
  <c r="A52" i="42"/>
  <c r="E52" i="42"/>
  <c r="A53" i="42"/>
  <c r="E53" i="42"/>
  <c r="A54" i="42"/>
  <c r="E54" i="42"/>
  <c r="A55" i="42"/>
  <c r="E55" i="42"/>
  <c r="A56" i="42"/>
  <c r="E56" i="42"/>
  <c r="A57" i="42"/>
  <c r="E57" i="42"/>
  <c r="A58" i="42"/>
  <c r="E58" i="42"/>
  <c r="A59" i="42"/>
  <c r="E59" i="42"/>
  <c r="A60" i="42"/>
  <c r="E60" i="42"/>
  <c r="A61" i="42"/>
  <c r="E61" i="42"/>
  <c r="A62" i="42"/>
  <c r="E62" i="42"/>
  <c r="A63" i="42"/>
  <c r="E63" i="42"/>
  <c r="A64" i="42"/>
  <c r="E64" i="42"/>
  <c r="A65" i="42"/>
  <c r="E65" i="42"/>
  <c r="B50" i="42"/>
  <c r="F50" i="42"/>
  <c r="B51" i="42"/>
  <c r="F51" i="42"/>
  <c r="B52" i="42"/>
  <c r="F52" i="42"/>
  <c r="B53" i="42"/>
  <c r="F53" i="42"/>
  <c r="B54" i="42"/>
  <c r="F54" i="42"/>
  <c r="B55" i="42"/>
  <c r="F55" i="42"/>
  <c r="B56" i="42"/>
  <c r="F56" i="42"/>
  <c r="B57" i="42"/>
  <c r="F57" i="42"/>
  <c r="B58" i="42"/>
  <c r="F58" i="42"/>
  <c r="B59" i="42"/>
  <c r="F59" i="42"/>
  <c r="B60" i="42"/>
  <c r="F60" i="42"/>
  <c r="B61" i="42"/>
  <c r="F61" i="42"/>
  <c r="B62" i="42"/>
  <c r="F62" i="42"/>
  <c r="B63" i="42"/>
  <c r="F63" i="42"/>
  <c r="B64" i="42"/>
  <c r="F64" i="42"/>
  <c r="B65" i="42"/>
  <c r="F65" i="42"/>
  <c r="C50" i="42"/>
  <c r="G50" i="42"/>
  <c r="C51" i="42"/>
  <c r="G51" i="42"/>
  <c r="C52" i="42"/>
  <c r="G52" i="42"/>
  <c r="C53" i="42"/>
  <c r="G53" i="42"/>
  <c r="C54" i="42"/>
  <c r="G54" i="42"/>
  <c r="C55" i="42"/>
  <c r="G55" i="42"/>
  <c r="C56" i="42"/>
  <c r="G56" i="42"/>
  <c r="C57" i="42"/>
  <c r="G57" i="42"/>
  <c r="C58" i="42"/>
  <c r="G58" i="42"/>
  <c r="C59" i="42"/>
  <c r="G59" i="42"/>
  <c r="C60" i="42"/>
  <c r="G60" i="42"/>
  <c r="C61" i="42"/>
  <c r="G61" i="42"/>
  <c r="C62" i="42"/>
  <c r="G62" i="42"/>
  <c r="C63" i="42"/>
  <c r="G63" i="42"/>
  <c r="C64" i="42"/>
  <c r="G64" i="42"/>
  <c r="C65" i="42"/>
  <c r="G65" i="42"/>
  <c r="D50" i="42"/>
  <c r="H50" i="42"/>
  <c r="D51" i="42"/>
  <c r="H51" i="42"/>
  <c r="D52" i="42"/>
  <c r="H52" i="42"/>
  <c r="D53" i="42"/>
  <c r="H53" i="42"/>
  <c r="D54" i="42"/>
  <c r="H54" i="42"/>
  <c r="D55" i="42"/>
  <c r="H55" i="42"/>
  <c r="D56" i="42"/>
  <c r="H56" i="42"/>
  <c r="D57" i="42"/>
  <c r="H57" i="42"/>
  <c r="D58" i="42"/>
  <c r="H58" i="42"/>
  <c r="D59" i="42"/>
  <c r="H59" i="42"/>
  <c r="D60" i="42"/>
  <c r="H60" i="42"/>
  <c r="D61" i="42"/>
  <c r="H61" i="42"/>
  <c r="D62" i="42"/>
  <c r="H62" i="42"/>
  <c r="D63" i="42"/>
  <c r="H63" i="42"/>
  <c r="D64" i="42"/>
  <c r="H64" i="42"/>
  <c r="D65" i="42"/>
  <c r="H65" i="42"/>
  <c r="A41" i="73"/>
  <c r="F41" i="73"/>
  <c r="A42" i="73"/>
  <c r="I42" i="73"/>
  <c r="D43" i="73"/>
  <c r="E43" i="73" s="1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 s="1"/>
  <c r="I44" i="73"/>
  <c r="D45" i="73"/>
  <c r="E45" i="73" s="1"/>
  <c r="I45" i="73"/>
  <c r="D46" i="73"/>
  <c r="E46" i="73" s="1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 s="1"/>
  <c r="H47" i="73"/>
  <c r="C48" i="73"/>
  <c r="H48" i="73"/>
  <c r="C49" i="73"/>
  <c r="H49" i="73"/>
  <c r="C50" i="73"/>
  <c r="G50" i="73"/>
  <c r="D41" i="73"/>
  <c r="E41" i="73" s="1"/>
  <c r="I41" i="73"/>
  <c r="D42" i="73"/>
  <c r="E42" i="73" s="1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 s="1"/>
  <c r="I48" i="73"/>
  <c r="D49" i="73"/>
  <c r="E49" i="73" s="1"/>
  <c r="I49" i="73"/>
  <c r="D50" i="73"/>
  <c r="E50" i="73" s="1"/>
  <c r="H50" i="73"/>
  <c r="C19" i="74"/>
  <c r="B33" i="74"/>
  <c r="A30" i="74"/>
  <c r="A23" i="74"/>
  <c r="F30" i="74"/>
  <c r="B17" i="75"/>
  <c r="E18" i="74"/>
  <c r="L18" i="74" s="1"/>
  <c r="B24" i="74"/>
  <c r="D22" i="77"/>
  <c r="E19" i="77"/>
  <c r="I19" i="77" s="1"/>
  <c r="A16" i="74"/>
  <c r="B26" i="74"/>
  <c r="F16" i="74"/>
  <c r="D25" i="74"/>
  <c r="A33" i="74"/>
  <c r="E21" i="74"/>
  <c r="L21" i="74" s="1"/>
  <c r="B32" i="74"/>
  <c r="E20" i="74"/>
  <c r="L20" i="74" s="1"/>
  <c r="F19" i="75"/>
  <c r="D17" i="75"/>
  <c r="F17" i="77"/>
  <c r="B29" i="77"/>
  <c r="C27" i="77"/>
  <c r="C22" i="77"/>
  <c r="A32" i="74"/>
  <c r="A22" i="74"/>
  <c r="E29" i="74"/>
  <c r="C20" i="74"/>
  <c r="A28" i="74"/>
  <c r="B17" i="74"/>
  <c r="C26" i="74"/>
  <c r="B16" i="75"/>
  <c r="C18" i="75"/>
  <c r="C21" i="77"/>
  <c r="D29" i="77"/>
  <c r="A28" i="77"/>
  <c r="E29" i="77"/>
  <c r="E17" i="78"/>
  <c r="E24" i="77"/>
  <c r="B21" i="77"/>
  <c r="F26" i="77"/>
  <c r="B18" i="77"/>
  <c r="B29" i="74"/>
  <c r="A19" i="74"/>
  <c r="F27" i="74"/>
  <c r="C16" i="74"/>
  <c r="C25" i="74"/>
  <c r="C23" i="74"/>
  <c r="C17" i="75"/>
  <c r="B20" i="75"/>
  <c r="F25" i="77"/>
  <c r="C28" i="77"/>
  <c r="A18" i="77"/>
  <c r="B21" i="78"/>
  <c r="D18" i="78"/>
  <c r="C20" i="78"/>
  <c r="E24" i="78"/>
  <c r="C16" i="78"/>
  <c r="A23" i="78"/>
  <c r="F23" i="78"/>
  <c r="E25" i="78"/>
  <c r="C19" i="78"/>
  <c r="A22" i="78"/>
  <c r="D17" i="78"/>
  <c r="E32" i="74"/>
  <c r="L32" i="74" s="1"/>
  <c r="F29" i="74"/>
  <c r="F26" i="74"/>
  <c r="F24" i="74"/>
  <c r="E22" i="74"/>
  <c r="H22" i="74" s="1"/>
  <c r="E19" i="74"/>
  <c r="G19" i="74" s="1"/>
  <c r="D16" i="74"/>
  <c r="I16" i="74" s="1"/>
  <c r="F33" i="74"/>
  <c r="C30" i="74"/>
  <c r="B28" i="74"/>
  <c r="A26" i="74"/>
  <c r="E23" i="74"/>
  <c r="L23" i="74" s="1"/>
  <c r="B21" i="74"/>
  <c r="C17" i="74"/>
  <c r="E33" i="74"/>
  <c r="B31" i="74"/>
  <c r="E28" i="74"/>
  <c r="L28" i="74" s="1"/>
  <c r="D26" i="74"/>
  <c r="C22" i="74"/>
  <c r="B20" i="74"/>
  <c r="F17" i="74"/>
  <c r="F32" i="74"/>
  <c r="E30" i="74"/>
  <c r="D27" i="74"/>
  <c r="C24" i="74"/>
  <c r="D21" i="74"/>
  <c r="B19" i="74"/>
  <c r="A17" i="74"/>
  <c r="A18" i="75"/>
  <c r="D20" i="75"/>
  <c r="F17" i="75"/>
  <c r="A19" i="75"/>
  <c r="F20" i="75"/>
  <c r="B18" i="75"/>
  <c r="D26" i="77"/>
  <c r="C25" i="77"/>
  <c r="F27" i="77"/>
  <c r="F19" i="77"/>
  <c r="G19" i="77" s="1"/>
  <c r="E26" i="77"/>
  <c r="I26" i="77" s="1"/>
  <c r="E18" i="77"/>
  <c r="D17" i="77"/>
  <c r="F16" i="77"/>
  <c r="B23" i="77"/>
  <c r="A30" i="77"/>
  <c r="A22" i="77"/>
  <c r="B16" i="77"/>
  <c r="F28" i="77"/>
  <c r="F18" i="77"/>
  <c r="E21" i="77"/>
  <c r="C26" i="77"/>
  <c r="B20" i="77"/>
  <c r="D19" i="78"/>
  <c r="E19" i="78"/>
  <c r="C22" i="78"/>
  <c r="A25" i="78"/>
  <c r="F17" i="78"/>
  <c r="D20" i="78"/>
  <c r="B23" i="78"/>
  <c r="F25" i="78"/>
  <c r="E18" i="78"/>
  <c r="C21" i="78"/>
  <c r="D16" i="78"/>
  <c r="E16" i="74"/>
  <c r="L16" i="74" s="1"/>
  <c r="D31" i="74"/>
  <c r="I31" i="74" s="1"/>
  <c r="C28" i="74"/>
  <c r="E25" i="74"/>
  <c r="L25" i="74" s="1"/>
  <c r="F23" i="74"/>
  <c r="C21" i="74"/>
  <c r="D18" i="74"/>
  <c r="D32" i="74"/>
  <c r="I32" i="74" s="1"/>
  <c r="A29" i="74"/>
  <c r="B27" i="74"/>
  <c r="E24" i="74"/>
  <c r="H24" i="74" s="1"/>
  <c r="D22" i="74"/>
  <c r="D19" i="74"/>
  <c r="I19" i="74" s="1"/>
  <c r="C32" i="74"/>
  <c r="B30" i="74"/>
  <c r="E27" i="74"/>
  <c r="D24" i="74"/>
  <c r="A21" i="74"/>
  <c r="F18" i="74"/>
  <c r="B16" i="74"/>
  <c r="E31" i="74"/>
  <c r="L31" i="74" s="1"/>
  <c r="C29" i="74"/>
  <c r="F25" i="74"/>
  <c r="F22" i="74"/>
  <c r="A20" i="74"/>
  <c r="A18" i="74"/>
  <c r="A20" i="75"/>
  <c r="A16" i="75"/>
  <c r="B19" i="75"/>
  <c r="D16" i="75"/>
  <c r="A17" i="75"/>
  <c r="D19" i="75"/>
  <c r="A16" i="77"/>
  <c r="D18" i="77"/>
  <c r="C17" i="77"/>
  <c r="F23" i="77"/>
  <c r="E30" i="77"/>
  <c r="I30" i="77" s="1"/>
  <c r="E22" i="77"/>
  <c r="D25" i="77"/>
  <c r="C24" i="77"/>
  <c r="B27" i="77"/>
  <c r="B19" i="77"/>
  <c r="A26" i="77"/>
  <c r="D28" i="77"/>
  <c r="C23" i="77"/>
  <c r="F22" i="77"/>
  <c r="E27" i="77"/>
  <c r="K27" i="77" s="1"/>
  <c r="D27" i="77"/>
  <c r="B28" i="77"/>
  <c r="A21" i="77"/>
  <c r="C18" i="78"/>
  <c r="A21" i="78"/>
  <c r="E23" i="78"/>
  <c r="B16" i="78"/>
  <c r="B19" i="78"/>
  <c r="F21" i="78"/>
  <c r="D24" i="78"/>
  <c r="C17" i="78"/>
  <c r="A20" i="78"/>
  <c r="A24" i="78"/>
  <c r="B20" i="78"/>
  <c r="C33" i="74"/>
  <c r="D30" i="74"/>
  <c r="I30" i="74" s="1"/>
  <c r="C27" i="74"/>
  <c r="A25" i="74"/>
  <c r="B23" i="74"/>
  <c r="D20" i="74"/>
  <c r="D17" i="74"/>
  <c r="I17" i="74" s="1"/>
  <c r="C31" i="74"/>
  <c r="F28" i="74"/>
  <c r="E26" i="74"/>
  <c r="L26" i="74" s="1"/>
  <c r="A24" i="74"/>
  <c r="F21" i="74"/>
  <c r="C18" i="74"/>
  <c r="F31" i="74"/>
  <c r="D29" i="74"/>
  <c r="I29" i="74" s="1"/>
  <c r="A27" i="74"/>
  <c r="D23" i="74"/>
  <c r="F20" i="74"/>
  <c r="B18" i="74"/>
  <c r="D33" i="74"/>
  <c r="I33" i="74" s="1"/>
  <c r="A31" i="74"/>
  <c r="D28" i="74"/>
  <c r="I28" i="74" s="1"/>
  <c r="B25" i="74"/>
  <c r="B22" i="74"/>
  <c r="F19" i="74"/>
  <c r="E17" i="74"/>
  <c r="C19" i="75"/>
  <c r="F16" i="75"/>
  <c r="D18" i="75"/>
  <c r="C20" i="75"/>
  <c r="C16" i="75"/>
  <c r="F18" i="75"/>
  <c r="D30" i="77"/>
  <c r="C29" i="77"/>
  <c r="F29" i="77"/>
  <c r="F21" i="77"/>
  <c r="E28" i="77"/>
  <c r="E20" i="77"/>
  <c r="D21" i="77"/>
  <c r="C20" i="77"/>
  <c r="B25" i="77"/>
  <c r="B17" i="77"/>
  <c r="A24" i="77"/>
  <c r="D24" i="77"/>
  <c r="F30" i="77"/>
  <c r="F20" i="77"/>
  <c r="E25" i="77"/>
  <c r="J25" i="77" s="1"/>
  <c r="D23" i="77"/>
  <c r="B26" i="77"/>
  <c r="A17" i="78"/>
  <c r="A19" i="78"/>
  <c r="E21" i="78"/>
  <c r="C24" i="78"/>
  <c r="B17" i="78"/>
  <c r="F19" i="78"/>
  <c r="D22" i="78"/>
  <c r="B25" i="78"/>
  <c r="A18" i="78"/>
  <c r="E20" i="78"/>
  <c r="E16" i="75"/>
  <c r="I16" i="75" s="1"/>
  <c r="F20" i="78"/>
  <c r="F22" i="78"/>
  <c r="D23" i="78"/>
  <c r="D25" i="78"/>
  <c r="E16" i="78"/>
  <c r="E22" i="78"/>
  <c r="C25" i="78"/>
  <c r="B18" i="78"/>
  <c r="D21" i="78"/>
  <c r="B24" i="78"/>
  <c r="A16" i="78"/>
  <c r="H3" i="78" s="1"/>
  <c r="C23" i="78"/>
  <c r="F16" i="78"/>
  <c r="F18" i="78"/>
  <c r="B22" i="78"/>
  <c r="F24" i="78"/>
  <c r="E17" i="75"/>
  <c r="E18" i="75"/>
  <c r="I18" i="75" s="1"/>
  <c r="E19" i="75"/>
  <c r="E20" i="75"/>
  <c r="J20" i="75" s="1"/>
  <c r="E17" i="77"/>
  <c r="D19" i="77"/>
  <c r="C18" i="77"/>
  <c r="B24" i="77"/>
  <c r="A29" i="77"/>
  <c r="A20" i="77"/>
  <c r="D20" i="77"/>
  <c r="C19" i="77"/>
  <c r="F24" i="77"/>
  <c r="D16" i="77"/>
  <c r="E23" i="77"/>
  <c r="K23" i="77" s="1"/>
  <c r="C16" i="77"/>
  <c r="C30" i="77"/>
  <c r="B30" i="77"/>
  <c r="B22" i="77"/>
  <c r="A27" i="77"/>
  <c r="A19" i="77"/>
  <c r="A17" i="77"/>
  <c r="A25" i="77"/>
  <c r="E16" i="77"/>
  <c r="J16" i="77" s="1"/>
  <c r="A23" i="77"/>
  <c r="C18" i="73"/>
  <c r="C26" i="73"/>
  <c r="B34" i="73"/>
  <c r="H18" i="73"/>
  <c r="H26" i="73"/>
  <c r="G34" i="73"/>
  <c r="C12" i="73"/>
  <c r="D20" i="73"/>
  <c r="E20" i="73" s="1"/>
  <c r="D28" i="73"/>
  <c r="E28" i="73" s="1"/>
  <c r="C36" i="73"/>
  <c r="I21" i="73"/>
  <c r="H29" i="73"/>
  <c r="H37" i="73"/>
  <c r="I22" i="73"/>
  <c r="H30" i="73"/>
  <c r="H38" i="73"/>
  <c r="A15" i="73"/>
  <c r="A23" i="73"/>
  <c r="D31" i="73"/>
  <c r="E31" i="73" s="1"/>
  <c r="D39" i="73"/>
  <c r="E39" i="73" s="1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 s="1"/>
  <c r="C29" i="73"/>
  <c r="C37" i="73"/>
  <c r="H22" i="73"/>
  <c r="G30" i="73"/>
  <c r="G38" i="73"/>
  <c r="I23" i="73"/>
  <c r="H31" i="73"/>
  <c r="H39" i="73"/>
  <c r="A16" i="73"/>
  <c r="A24" i="73"/>
  <c r="D32" i="73"/>
  <c r="E32" i="73" s="1"/>
  <c r="D40" i="73"/>
  <c r="E40" i="73" s="1"/>
  <c r="F17" i="73"/>
  <c r="F25" i="73"/>
  <c r="I33" i="73"/>
  <c r="A19" i="73"/>
  <c r="A27" i="73"/>
  <c r="D35" i="73"/>
  <c r="E35" i="73" s="1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 s="1"/>
  <c r="I18" i="73"/>
  <c r="I26" i="73"/>
  <c r="H34" i="73"/>
  <c r="D12" i="73"/>
  <c r="E12" i="73" s="1"/>
  <c r="A20" i="73"/>
  <c r="A28" i="73"/>
  <c r="D36" i="73"/>
  <c r="E36" i="73" s="1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 s="1"/>
  <c r="D26" i="73"/>
  <c r="E26" i="73" s="1"/>
  <c r="C34" i="73"/>
  <c r="I19" i="73"/>
  <c r="I27" i="73"/>
  <c r="H35" i="73"/>
  <c r="D13" i="73"/>
  <c r="E13" i="73" s="1"/>
  <c r="A21" i="73"/>
  <c r="D29" i="73"/>
  <c r="E29" i="73" s="1"/>
  <c r="D37" i="73"/>
  <c r="E37" i="73" s="1"/>
  <c r="B11" i="73"/>
  <c r="C11" i="73"/>
  <c r="D14" i="73"/>
  <c r="E14" i="73" s="1"/>
  <c r="A22" i="73"/>
  <c r="D30" i="73"/>
  <c r="E30" i="73" s="1"/>
  <c r="D38" i="73"/>
  <c r="E38" i="73" s="1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 s="1"/>
  <c r="C30" i="73"/>
  <c r="C38" i="73"/>
  <c r="D15" i="73"/>
  <c r="E15" i="73" s="1"/>
  <c r="D23" i="73"/>
  <c r="E23" i="73" s="1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 s="1"/>
  <c r="D16" i="73"/>
  <c r="E16" i="73" s="1"/>
  <c r="D24" i="73"/>
  <c r="E24" i="73" s="1"/>
  <c r="C32" i="73"/>
  <c r="C40" i="73"/>
  <c r="F16" i="73"/>
  <c r="F24" i="73"/>
  <c r="I32" i="73"/>
  <c r="H40" i="73"/>
  <c r="A18" i="73"/>
  <c r="A26" i="73"/>
  <c r="D34" i="73"/>
  <c r="E34" i="73" s="1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 s="1"/>
  <c r="D25" i="73"/>
  <c r="E25" i="73" s="1"/>
  <c r="C33" i="73"/>
  <c r="I17" i="73"/>
  <c r="I25" i="73"/>
  <c r="H33" i="73"/>
  <c r="D19" i="73"/>
  <c r="E19" i="73" s="1"/>
  <c r="D27" i="73"/>
  <c r="E27" i="73" s="1"/>
  <c r="C35" i="73"/>
  <c r="I12" i="73"/>
  <c r="F20" i="73"/>
  <c r="I28" i="73"/>
  <c r="I36" i="73"/>
  <c r="F21" i="73"/>
  <c r="I29" i="73"/>
  <c r="I37" i="73"/>
  <c r="A14" i="73"/>
  <c r="H55" i="73" s="1"/>
  <c r="B22" i="73"/>
  <c r="A30" i="73"/>
  <c r="A38" i="73"/>
  <c r="G15" i="73"/>
  <c r="G23" i="73"/>
  <c r="F31" i="73"/>
  <c r="F39" i="73"/>
  <c r="C17" i="73"/>
  <c r="C25" i="73"/>
  <c r="B33" i="73"/>
  <c r="G11" i="73"/>
  <c r="K17" i="77" l="1"/>
  <c r="K29" i="77"/>
  <c r="H24" i="77"/>
  <c r="H20" i="77"/>
  <c r="J19" i="77"/>
  <c r="G28" i="77"/>
  <c r="L18" i="77"/>
  <c r="L21" i="77"/>
  <c r="H21" i="74"/>
  <c r="F2" i="73"/>
  <c r="A54" i="73"/>
  <c r="G30" i="74"/>
  <c r="G27" i="74"/>
  <c r="L19" i="74"/>
  <c r="G21" i="74"/>
  <c r="J21" i="74"/>
  <c r="H19" i="74"/>
  <c r="J20" i="74"/>
  <c r="L25" i="77"/>
  <c r="J38" i="77"/>
  <c r="H3" i="77"/>
  <c r="I28" i="75"/>
  <c r="G3" i="75"/>
  <c r="C40" i="74"/>
  <c r="J3" i="74"/>
  <c r="G33" i="74"/>
  <c r="G29" i="74"/>
  <c r="M21" i="74"/>
  <c r="I23" i="74"/>
  <c r="I22" i="77"/>
  <c r="I25" i="74"/>
  <c r="G29" i="77"/>
  <c r="J33" i="74"/>
  <c r="I21" i="74"/>
  <c r="C27" i="75"/>
  <c r="H29" i="77"/>
  <c r="L29" i="77"/>
  <c r="I27" i="74"/>
  <c r="H33" i="74"/>
  <c r="L33" i="74"/>
  <c r="I29" i="77"/>
  <c r="J29" i="77"/>
  <c r="K18" i="74"/>
  <c r="J24" i="77"/>
  <c r="H18" i="74"/>
  <c r="M18" i="74"/>
  <c r="G18" i="74"/>
  <c r="J29" i="74"/>
  <c r="L29" i="74"/>
  <c r="K24" i="77"/>
  <c r="H29" i="74"/>
  <c r="J18" i="74"/>
  <c r="J41" i="74"/>
  <c r="G24" i="77"/>
  <c r="H18" i="77"/>
  <c r="H19" i="75"/>
  <c r="J22" i="74"/>
  <c r="L24" i="77"/>
  <c r="H25" i="74"/>
  <c r="G23" i="74"/>
  <c r="J24" i="74"/>
  <c r="L24" i="74"/>
  <c r="H30" i="77"/>
  <c r="M20" i="74"/>
  <c r="H26" i="74"/>
  <c r="K23" i="74"/>
  <c r="G30" i="77"/>
  <c r="L22" i="74"/>
  <c r="K18" i="77"/>
  <c r="K22" i="74"/>
  <c r="J28" i="74"/>
  <c r="I25" i="77"/>
  <c r="K25" i="77"/>
  <c r="H25" i="77"/>
  <c r="K21" i="74"/>
  <c r="G26" i="77"/>
  <c r="F22" i="75"/>
  <c r="M30" i="74"/>
  <c r="I24" i="74"/>
  <c r="H16" i="75"/>
  <c r="H23" i="74"/>
  <c r="G26" i="74"/>
  <c r="G31" i="74"/>
  <c r="J25" i="74"/>
  <c r="H16" i="74"/>
  <c r="H20" i="74"/>
  <c r="K30" i="74"/>
  <c r="K33" i="74"/>
  <c r="K24" i="74"/>
  <c r="M23" i="74"/>
  <c r="M26" i="74"/>
  <c r="M25" i="74"/>
  <c r="C37" i="77"/>
  <c r="K19" i="77"/>
  <c r="L19" i="77"/>
  <c r="K30" i="77"/>
  <c r="L26" i="77"/>
  <c r="L30" i="74"/>
  <c r="H17" i="75"/>
  <c r="J30" i="77"/>
  <c r="J16" i="75"/>
  <c r="J30" i="74"/>
  <c r="J26" i="74"/>
  <c r="G24" i="74"/>
  <c r="G25" i="74"/>
  <c r="K20" i="74"/>
  <c r="G16" i="74"/>
  <c r="M33" i="74"/>
  <c r="M24" i="74"/>
  <c r="H19" i="77"/>
  <c r="L30" i="77"/>
  <c r="H26" i="77"/>
  <c r="K26" i="77"/>
  <c r="G16" i="75"/>
  <c r="H30" i="74"/>
  <c r="J31" i="74"/>
  <c r="J16" i="74"/>
  <c r="G20" i="74"/>
  <c r="K16" i="74"/>
  <c r="K26" i="74"/>
  <c r="M16" i="74"/>
  <c r="J26" i="77"/>
  <c r="I28" i="77"/>
  <c r="L17" i="74"/>
  <c r="I26" i="74"/>
  <c r="J28" i="77"/>
  <c r="J27" i="77"/>
  <c r="I21" i="77"/>
  <c r="J20" i="77"/>
  <c r="J21" i="77"/>
  <c r="J23" i="74"/>
  <c r="K25" i="74"/>
  <c r="G25" i="77"/>
  <c r="J17" i="77"/>
  <c r="H27" i="74"/>
  <c r="K27" i="74"/>
  <c r="I27" i="77"/>
  <c r="K21" i="77"/>
  <c r="J19" i="74"/>
  <c r="J27" i="74"/>
  <c r="K17" i="74"/>
  <c r="K29" i="74"/>
  <c r="K19" i="74"/>
  <c r="M31" i="74"/>
  <c r="L27" i="74"/>
  <c r="M29" i="74"/>
  <c r="H27" i="77"/>
  <c r="G21" i="77"/>
  <c r="K31" i="74"/>
  <c r="L27" i="77"/>
  <c r="G27" i="77"/>
  <c r="H21" i="77"/>
  <c r="M17" i="74"/>
  <c r="H31" i="74"/>
  <c r="I20" i="77"/>
  <c r="G17" i="74"/>
  <c r="K20" i="77"/>
  <c r="M19" i="74"/>
  <c r="H17" i="74"/>
  <c r="G20" i="77"/>
  <c r="J17" i="74"/>
  <c r="K28" i="74"/>
  <c r="L20" i="77"/>
  <c r="G22" i="77"/>
  <c r="M27" i="74"/>
  <c r="M28" i="74"/>
  <c r="J17" i="75"/>
  <c r="G28" i="74"/>
  <c r="G22" i="74"/>
  <c r="H32" i="74"/>
  <c r="M32" i="74"/>
  <c r="L28" i="77"/>
  <c r="H28" i="77"/>
  <c r="L22" i="77"/>
  <c r="I18" i="77"/>
  <c r="I17" i="75"/>
  <c r="H28" i="74"/>
  <c r="J32" i="74"/>
  <c r="K32" i="74"/>
  <c r="M22" i="74"/>
  <c r="K28" i="77"/>
  <c r="H22" i="77"/>
  <c r="K22" i="77"/>
  <c r="J18" i="77"/>
  <c r="G18" i="77"/>
  <c r="F32" i="77"/>
  <c r="G17" i="75"/>
  <c r="G32" i="74"/>
  <c r="J22" i="77"/>
  <c r="F35" i="74"/>
  <c r="G18" i="75"/>
  <c r="F27" i="78"/>
  <c r="J18" i="75"/>
  <c r="G17" i="77"/>
  <c r="H18" i="75"/>
  <c r="L17" i="77"/>
  <c r="I20" i="74"/>
  <c r="I24" i="77"/>
  <c r="H17" i="77"/>
  <c r="L16" i="77"/>
  <c r="J19" i="75"/>
  <c r="I17" i="77"/>
  <c r="I18" i="74"/>
  <c r="I22" i="74"/>
  <c r="I16" i="77"/>
  <c r="H16" i="77"/>
  <c r="K16" i="77"/>
  <c r="G16" i="77"/>
  <c r="G19" i="75"/>
  <c r="I19" i="75"/>
  <c r="G20" i="75"/>
  <c r="I20" i="75"/>
  <c r="H20" i="75"/>
  <c r="I23" i="77"/>
  <c r="L23" i="77"/>
  <c r="H23" i="77"/>
  <c r="J23" i="77"/>
  <c r="G23" i="77"/>
  <c r="C32" i="78"/>
  <c r="J33" i="78"/>
  <c r="H17" i="78"/>
  <c r="G17" i="78"/>
  <c r="L17" i="78"/>
  <c r="I17" i="78"/>
  <c r="K17" i="78"/>
  <c r="J17" i="78"/>
  <c r="H25" i="78"/>
  <c r="I25" i="78"/>
  <c r="J25" i="78"/>
  <c r="G25" i="78"/>
  <c r="L25" i="78"/>
  <c r="K25" i="78"/>
  <c r="K21" i="78"/>
  <c r="H21" i="78"/>
  <c r="I21" i="78"/>
  <c r="G21" i="78"/>
  <c r="L21" i="78"/>
  <c r="J21" i="78"/>
  <c r="K24" i="78"/>
  <c r="H24" i="78"/>
  <c r="J24" i="78"/>
  <c r="L24" i="78"/>
  <c r="I24" i="78"/>
  <c r="G24" i="78"/>
  <c r="H19" i="78"/>
  <c r="J19" i="78"/>
  <c r="L19" i="78"/>
  <c r="G19" i="78"/>
  <c r="K19" i="78"/>
  <c r="I19" i="78"/>
  <c r="K16" i="78"/>
  <c r="J16" i="78"/>
  <c r="I16" i="78"/>
  <c r="H16" i="78"/>
  <c r="L16" i="78"/>
  <c r="G16" i="78"/>
  <c r="H23" i="78"/>
  <c r="K23" i="78"/>
  <c r="L23" i="78"/>
  <c r="J23" i="78"/>
  <c r="I23" i="78"/>
  <c r="G23" i="78"/>
  <c r="K20" i="78"/>
  <c r="H20" i="78"/>
  <c r="I20" i="78"/>
  <c r="L20" i="78"/>
  <c r="J20" i="78"/>
  <c r="G20" i="78"/>
  <c r="K18" i="78"/>
  <c r="G18" i="78"/>
  <c r="I18" i="78"/>
  <c r="H18" i="78"/>
  <c r="J18" i="78"/>
  <c r="L18" i="78"/>
  <c r="K22" i="78"/>
  <c r="J22" i="78"/>
  <c r="I22" i="78"/>
  <c r="G22" i="78"/>
  <c r="H22" i="78"/>
  <c r="L22" i="78"/>
  <c r="D6" i="73"/>
  <c r="L35" i="74" l="1"/>
  <c r="L36" i="74" s="1"/>
  <c r="L37" i="74" s="1"/>
  <c r="K32" i="77"/>
  <c r="K33" i="77" s="1"/>
  <c r="K34" i="77" s="1"/>
  <c r="J35" i="74"/>
  <c r="J36" i="74" s="1"/>
  <c r="J37" i="74" s="1"/>
  <c r="G35" i="74"/>
  <c r="G36" i="74" s="1"/>
  <c r="K35" i="74"/>
  <c r="K36" i="74" s="1"/>
  <c r="K37" i="74" s="1"/>
  <c r="M35" i="74"/>
  <c r="M36" i="74" s="1"/>
  <c r="M37" i="74" s="1"/>
  <c r="H35" i="74"/>
  <c r="H36" i="74" s="1"/>
  <c r="H37" i="74" s="1"/>
  <c r="J32" i="77"/>
  <c r="J33" i="77" s="1"/>
  <c r="J34" i="77" s="1"/>
  <c r="J22" i="75"/>
  <c r="J23" i="75" s="1"/>
  <c r="J24" i="75" s="1"/>
  <c r="H22" i="75"/>
  <c r="H23" i="75" s="1"/>
  <c r="H24" i="75" s="1"/>
  <c r="I35" i="74"/>
  <c r="I36" i="74" s="1"/>
  <c r="I37" i="74" s="1"/>
  <c r="L32" i="77"/>
  <c r="L33" i="77" s="1"/>
  <c r="L34" i="77" s="1"/>
  <c r="I32" i="77"/>
  <c r="I33" i="77" s="1"/>
  <c r="I34" i="77" s="1"/>
  <c r="H32" i="77"/>
  <c r="H33" i="77" s="1"/>
  <c r="H34" i="77" s="1"/>
  <c r="G32" i="77"/>
  <c r="G33" i="77" s="1"/>
  <c r="G22" i="75"/>
  <c r="G23" i="75" s="1"/>
  <c r="I22" i="75"/>
  <c r="I23" i="75" s="1"/>
  <c r="I24" i="75" s="1"/>
  <c r="G27" i="78"/>
  <c r="J27" i="78"/>
  <c r="J28" i="78" s="1"/>
  <c r="J29" i="78" s="1"/>
  <c r="L27" i="78"/>
  <c r="L28" i="78" s="1"/>
  <c r="L29" i="78" s="1"/>
  <c r="K27" i="78"/>
  <c r="K28" i="78" s="1"/>
  <c r="K29" i="78" s="1"/>
  <c r="H27" i="78"/>
  <c r="H28" i="78" s="1"/>
  <c r="H29" i="78" s="1"/>
  <c r="I27" i="78"/>
  <c r="I28" i="78" s="1"/>
  <c r="I29" i="78" s="1"/>
  <c r="C31" i="15"/>
  <c r="C49" i="15" s="1"/>
  <c r="D31" i="15"/>
  <c r="D49" i="15" s="1"/>
  <c r="F36" i="74" l="1"/>
  <c r="F37" i="74" s="1"/>
  <c r="G34" i="77"/>
  <c r="F33" i="77"/>
  <c r="F34" i="77" s="1"/>
  <c r="G28" i="78"/>
  <c r="G24" i="75"/>
  <c r="F23" i="75"/>
  <c r="F24" i="75" s="1"/>
  <c r="G37" i="74"/>
  <c r="D33" i="15"/>
  <c r="G29" i="78" l="1"/>
  <c r="F28" i="78"/>
  <c r="F29" i="78" s="1"/>
  <c r="B11" i="61"/>
  <c r="I37" i="60"/>
  <c r="G37" i="60"/>
  <c r="C37" i="60"/>
  <c r="A31" i="58"/>
  <c r="I13" i="58"/>
  <c r="C8" i="58"/>
  <c r="A19" i="57"/>
  <c r="L13" i="57"/>
  <c r="K13" i="57"/>
  <c r="I7" i="57"/>
  <c r="C7" i="56"/>
  <c r="D5" i="56"/>
  <c r="G59" i="55"/>
  <c r="L13" i="54"/>
  <c r="J13" i="14"/>
  <c r="I13" i="14"/>
  <c r="M17" i="39"/>
  <c r="H17" i="39"/>
  <c r="C11" i="39"/>
  <c r="M7" i="39"/>
  <c r="L7" i="39"/>
  <c r="L6" i="39"/>
  <c r="H4" i="39"/>
  <c r="L1" i="39"/>
  <c r="I14" i="47"/>
  <c r="H14" i="47"/>
  <c r="E8" i="47"/>
  <c r="Y10" i="34"/>
  <c r="X10" i="34"/>
  <c r="V7" i="34"/>
  <c r="V78" i="34" s="1"/>
  <c r="V29" i="34" l="1"/>
  <c r="V34" i="34"/>
  <c r="V38" i="34"/>
  <c r="V42" i="34"/>
  <c r="V46" i="34"/>
  <c r="V50" i="34"/>
  <c r="V54" i="34"/>
  <c r="V58" i="34"/>
  <c r="V63" i="34"/>
  <c r="V67" i="34"/>
  <c r="V73" i="34"/>
  <c r="V81" i="34"/>
  <c r="V86" i="34"/>
  <c r="V90" i="34"/>
  <c r="V94" i="34"/>
  <c r="V98" i="34"/>
  <c r="V105" i="34"/>
  <c r="V109" i="34"/>
  <c r="V113" i="34"/>
  <c r="V117" i="34"/>
  <c r="V121" i="34"/>
  <c r="V126" i="34"/>
  <c r="V130" i="34"/>
  <c r="V134" i="34"/>
  <c r="V138" i="34"/>
  <c r="V143" i="34"/>
  <c r="V147" i="34"/>
  <c r="V151" i="34"/>
  <c r="V155" i="34"/>
  <c r="V159" i="34"/>
  <c r="V163" i="34"/>
  <c r="V167" i="34"/>
  <c r="V172" i="34"/>
  <c r="V176" i="34"/>
  <c r="V182" i="34"/>
  <c r="V186" i="34"/>
  <c r="V191" i="34"/>
  <c r="V195" i="34"/>
  <c r="V200" i="34"/>
  <c r="V204" i="34"/>
  <c r="V208" i="34"/>
  <c r="V212" i="34"/>
  <c r="V216" i="34"/>
  <c r="V221" i="34"/>
  <c r="V225" i="34"/>
  <c r="V230" i="34"/>
  <c r="V234" i="34"/>
  <c r="V240" i="34"/>
  <c r="V244" i="34"/>
  <c r="V246" i="34"/>
  <c r="V250" i="34"/>
  <c r="V254" i="34"/>
  <c r="V258" i="34"/>
  <c r="V262" i="34"/>
  <c r="V266" i="34"/>
  <c r="V270" i="34"/>
  <c r="V274" i="34"/>
  <c r="V278" i="34"/>
  <c r="V282" i="34"/>
  <c r="V286" i="34"/>
  <c r="V290" i="34"/>
  <c r="V294" i="34"/>
  <c r="V298" i="34"/>
  <c r="V302" i="34"/>
  <c r="V306" i="34"/>
  <c r="V310" i="34"/>
  <c r="V314" i="34"/>
  <c r="V318" i="34"/>
  <c r="V322" i="34"/>
  <c r="V28" i="34"/>
  <c r="V33" i="34"/>
  <c r="V37" i="34"/>
  <c r="V41" i="34"/>
  <c r="V45" i="34"/>
  <c r="V49" i="34"/>
  <c r="V53" i="34"/>
  <c r="V57" i="34"/>
  <c r="V62" i="34"/>
  <c r="V66" i="34"/>
  <c r="V72" i="34"/>
  <c r="V80" i="34"/>
  <c r="V85" i="34"/>
  <c r="V89" i="34"/>
  <c r="V93" i="34"/>
  <c r="V97" i="34"/>
  <c r="V104" i="34"/>
  <c r="V108" i="34"/>
  <c r="V112" i="34"/>
  <c r="V116" i="34"/>
  <c r="V120" i="34"/>
  <c r="V124" i="34"/>
  <c r="V125" i="34"/>
  <c r="V129" i="34"/>
  <c r="V133" i="34"/>
  <c r="V137" i="34"/>
  <c r="V141" i="34"/>
  <c r="V142" i="34"/>
  <c r="V146" i="34"/>
  <c r="V150" i="34"/>
  <c r="V154" i="34"/>
  <c r="V158" i="34"/>
  <c r="V162" i="34"/>
  <c r="V166" i="34"/>
  <c r="V171" i="34"/>
  <c r="V175" i="34"/>
  <c r="V179" i="34"/>
  <c r="V180" i="34"/>
  <c r="V181" i="34"/>
  <c r="V185" i="34"/>
  <c r="V190" i="34"/>
  <c r="V194" i="34"/>
  <c r="V198" i="34"/>
  <c r="V199" i="34"/>
  <c r="V203" i="34"/>
  <c r="V207" i="34"/>
  <c r="V211" i="34"/>
  <c r="V215" i="34"/>
  <c r="V219" i="34"/>
  <c r="V220" i="34"/>
  <c r="V224" i="34"/>
  <c r="V228" i="34"/>
  <c r="V229" i="34"/>
  <c r="V233" i="34"/>
  <c r="V239" i="34"/>
  <c r="V243" i="34"/>
  <c r="V247" i="34"/>
  <c r="V251" i="34"/>
  <c r="V255" i="34"/>
  <c r="V259" i="34"/>
  <c r="V263" i="34"/>
  <c r="V267" i="34"/>
  <c r="V271" i="34"/>
  <c r="V275" i="34"/>
  <c r="V279" i="34"/>
  <c r="V283" i="34"/>
  <c r="V287" i="34"/>
  <c r="V291" i="34"/>
  <c r="V295" i="34"/>
  <c r="V299" i="34"/>
  <c r="V303" i="34"/>
  <c r="V307" i="34"/>
  <c r="V311" i="34"/>
  <c r="V315" i="34"/>
  <c r="V319" i="34"/>
  <c r="V323" i="34"/>
  <c r="V26" i="34"/>
  <c r="V27" i="34"/>
  <c r="V31" i="34"/>
  <c r="V32" i="34"/>
  <c r="V36" i="34"/>
  <c r="V40" i="34"/>
  <c r="V44" i="34"/>
  <c r="V48" i="34"/>
  <c r="V52" i="34"/>
  <c r="V56" i="34"/>
  <c r="V60" i="34"/>
  <c r="V61" i="34"/>
  <c r="V65" i="34"/>
  <c r="V69" i="34"/>
  <c r="V70" i="34"/>
  <c r="V71" i="34"/>
  <c r="V79" i="34"/>
  <c r="V83" i="34"/>
  <c r="V84" i="34"/>
  <c r="V88" i="34"/>
  <c r="V92" i="34"/>
  <c r="V96" i="34"/>
  <c r="V100" i="34"/>
  <c r="V101" i="34"/>
  <c r="V102" i="34"/>
  <c r="V103" i="34"/>
  <c r="V107" i="34"/>
  <c r="V111" i="34"/>
  <c r="V115" i="34"/>
  <c r="V119" i="34"/>
  <c r="V123" i="34"/>
  <c r="V128" i="34"/>
  <c r="V132" i="34"/>
  <c r="V136" i="34"/>
  <c r="V140" i="34"/>
  <c r="V145" i="34"/>
  <c r="V149" i="34"/>
  <c r="V153" i="34"/>
  <c r="V157" i="34"/>
  <c r="V161" i="34"/>
  <c r="V165" i="34"/>
  <c r="V170" i="34"/>
  <c r="V174" i="34"/>
  <c r="V178" i="34"/>
  <c r="V184" i="34"/>
  <c r="V189" i="34"/>
  <c r="V193" i="34"/>
  <c r="V197" i="34"/>
  <c r="V202" i="34"/>
  <c r="V206" i="34"/>
  <c r="V210" i="34"/>
  <c r="V214" i="34"/>
  <c r="V218" i="34"/>
  <c r="V223" i="34"/>
  <c r="V227" i="34"/>
  <c r="V232" i="34"/>
  <c r="V236" i="34"/>
  <c r="V237" i="34"/>
  <c r="V238" i="34"/>
  <c r="V242" i="34"/>
  <c r="V248" i="34"/>
  <c r="V252" i="34"/>
  <c r="V256" i="34"/>
  <c r="V260" i="34"/>
  <c r="V264" i="34"/>
  <c r="V268" i="34"/>
  <c r="V272" i="34"/>
  <c r="V276" i="34"/>
  <c r="V280" i="34"/>
  <c r="V284" i="34"/>
  <c r="V288" i="34"/>
  <c r="V292" i="34"/>
  <c r="V296" i="34"/>
  <c r="V300" i="34"/>
  <c r="V304" i="34"/>
  <c r="V308" i="34"/>
  <c r="V312" i="34"/>
  <c r="V316" i="34"/>
  <c r="V320" i="34"/>
  <c r="V324" i="34"/>
  <c r="V30" i="34"/>
  <c r="V35" i="34"/>
  <c r="V39" i="34"/>
  <c r="V43" i="34"/>
  <c r="V47" i="34"/>
  <c r="V51" i="34"/>
  <c r="V55" i="34"/>
  <c r="V59" i="34"/>
  <c r="V64" i="34"/>
  <c r="V68" i="34"/>
  <c r="V74" i="34"/>
  <c r="V75" i="34"/>
  <c r="V76" i="34"/>
  <c r="V77" i="34"/>
  <c r="V82" i="34"/>
  <c r="V87" i="34"/>
  <c r="V91" i="34"/>
  <c r="V95" i="34"/>
  <c r="V99" i="34"/>
  <c r="V106" i="34"/>
  <c r="V110" i="34"/>
  <c r="V114" i="34"/>
  <c r="V118" i="34"/>
  <c r="V122" i="34"/>
  <c r="V127" i="34"/>
  <c r="V131" i="34"/>
  <c r="V135" i="34"/>
  <c r="V139" i="34"/>
  <c r="V144" i="34"/>
  <c r="V148" i="34"/>
  <c r="V152" i="34"/>
  <c r="V156" i="34"/>
  <c r="V160" i="34"/>
  <c r="V164" i="34"/>
  <c r="V168" i="34"/>
  <c r="V169" i="34"/>
  <c r="V173" i="34"/>
  <c r="V177" i="34"/>
  <c r="V183" i="34"/>
  <c r="V187" i="34"/>
  <c r="V188" i="34"/>
  <c r="V192" i="34"/>
  <c r="V196" i="34"/>
  <c r="V201" i="34"/>
  <c r="V205" i="34"/>
  <c r="V209" i="34"/>
  <c r="V213" i="34"/>
  <c r="V217" i="34"/>
  <c r="V222" i="34"/>
  <c r="V226" i="34"/>
  <c r="V231" i="34"/>
  <c r="V235" i="34"/>
  <c r="V241" i="34"/>
  <c r="V245" i="34"/>
  <c r="V249" i="34"/>
  <c r="V253" i="34"/>
  <c r="V257" i="34"/>
  <c r="V261" i="34"/>
  <c r="V265" i="34"/>
  <c r="V269" i="34"/>
  <c r="V273" i="34"/>
  <c r="V277" i="34"/>
  <c r="V281" i="34"/>
  <c r="V285" i="34"/>
  <c r="V289" i="34"/>
  <c r="V293" i="34"/>
  <c r="V297" i="34"/>
  <c r="V301" i="34"/>
  <c r="V305" i="34"/>
  <c r="V309" i="34"/>
  <c r="V313" i="34"/>
  <c r="V317" i="34"/>
  <c r="V321" i="34"/>
  <c r="V325" i="34"/>
  <c r="G15" i="57"/>
  <c r="G17" i="57"/>
  <c r="I15" i="57"/>
  <c r="I17" i="57"/>
  <c r="G16" i="57"/>
  <c r="G18" i="57"/>
  <c r="I14" i="57"/>
  <c r="I16" i="57"/>
  <c r="I18" i="57"/>
  <c r="G14" i="57"/>
  <c r="V25" i="34"/>
  <c r="E10" i="60"/>
  <c r="E14" i="60"/>
  <c r="E21" i="60"/>
  <c r="E26" i="60"/>
  <c r="E30" i="60"/>
  <c r="E34" i="60"/>
  <c r="E11" i="60"/>
  <c r="E15" i="60"/>
  <c r="E23" i="60"/>
  <c r="E27" i="60"/>
  <c r="E31" i="60"/>
  <c r="E35" i="60"/>
  <c r="E8" i="60"/>
  <c r="E12" i="60"/>
  <c r="E16" i="60"/>
  <c r="E24" i="60"/>
  <c r="E28" i="60"/>
  <c r="E32" i="60"/>
  <c r="E7" i="60"/>
  <c r="E13" i="60"/>
  <c r="E19" i="60"/>
  <c r="E25" i="60"/>
  <c r="E29" i="60"/>
  <c r="E33" i="60"/>
  <c r="F7" i="60"/>
  <c r="E9" i="60"/>
  <c r="F9" i="60"/>
  <c r="D10" i="60"/>
  <c r="F11" i="60"/>
  <c r="D12" i="60"/>
  <c r="F13" i="60"/>
  <c r="D14" i="60"/>
  <c r="F15" i="60"/>
  <c r="D16" i="60"/>
  <c r="F19" i="60"/>
  <c r="D21" i="60"/>
  <c r="F23" i="60"/>
  <c r="D24" i="60"/>
  <c r="F25" i="60"/>
  <c r="D26" i="60"/>
  <c r="F27" i="60"/>
  <c r="D28" i="60"/>
  <c r="F29" i="60"/>
  <c r="D30" i="60"/>
  <c r="F31" i="60"/>
  <c r="D32" i="60"/>
  <c r="F33" i="60"/>
  <c r="D34" i="60"/>
  <c r="F35" i="60"/>
  <c r="D9" i="60"/>
  <c r="F10" i="60"/>
  <c r="D11" i="60"/>
  <c r="F12" i="60"/>
  <c r="D13" i="60"/>
  <c r="F14" i="60"/>
  <c r="D15" i="60"/>
  <c r="F16" i="60"/>
  <c r="D19" i="60"/>
  <c r="F21" i="60"/>
  <c r="D23" i="60"/>
  <c r="F24" i="60"/>
  <c r="D25" i="60"/>
  <c r="F26" i="60"/>
  <c r="D27" i="60"/>
  <c r="F28" i="60"/>
  <c r="D29" i="60"/>
  <c r="F30" i="60"/>
  <c r="D31" i="60"/>
  <c r="F32" i="60"/>
  <c r="D33" i="60"/>
  <c r="F34" i="60"/>
  <c r="D35" i="60"/>
  <c r="V24" i="34"/>
  <c r="V18" i="34"/>
  <c r="V13" i="34"/>
  <c r="V14" i="34"/>
  <c r="V19" i="34"/>
  <c r="V23" i="34"/>
  <c r="V11" i="34"/>
  <c r="V15" i="34"/>
  <c r="V20" i="34"/>
  <c r="V12" i="34"/>
  <c r="V16" i="34"/>
  <c r="V21" i="34"/>
  <c r="V17" i="34"/>
  <c r="V22" i="34"/>
  <c r="W12" i="34"/>
  <c r="W15" i="34"/>
  <c r="W17" i="34"/>
  <c r="W20" i="34"/>
  <c r="W22" i="34"/>
  <c r="W11" i="34"/>
  <c r="W16" i="34"/>
  <c r="W21" i="34"/>
  <c r="W13" i="34"/>
  <c r="W19" i="34"/>
  <c r="W23" i="34"/>
  <c r="A12" i="56"/>
  <c r="H2" i="55"/>
  <c r="I59" i="55"/>
  <c r="L14" i="54"/>
  <c r="L15" i="54" s="1"/>
  <c r="L16" i="54" s="1"/>
  <c r="L18" i="54"/>
  <c r="L19" i="54" s="1"/>
  <c r="D8" i="60"/>
  <c r="F8" i="60"/>
  <c r="D7" i="60"/>
  <c r="D15" i="57"/>
  <c r="D16" i="57"/>
  <c r="D14" i="57"/>
  <c r="D18" i="57"/>
  <c r="D17" i="57"/>
  <c r="E15" i="58"/>
  <c r="E16" i="58"/>
  <c r="E17" i="58"/>
  <c r="E19" i="58"/>
  <c r="E20" i="58"/>
  <c r="E21" i="58"/>
  <c r="E22" i="58"/>
  <c r="E23" i="58"/>
  <c r="E24" i="58"/>
  <c r="I24" i="58" s="1"/>
  <c r="E25" i="58"/>
  <c r="I25" i="58" s="1"/>
  <c r="E26" i="58"/>
  <c r="I26" i="58" s="1"/>
  <c r="E14" i="58"/>
  <c r="E27" i="58"/>
  <c r="I27" i="58" s="1"/>
  <c r="E28" i="58"/>
  <c r="I28" i="58" s="1"/>
  <c r="E29" i="58"/>
  <c r="I29" i="58" s="1"/>
  <c r="E30" i="58"/>
  <c r="I30" i="58" s="1"/>
  <c r="E18" i="58"/>
  <c r="Q10" i="34"/>
  <c r="A10" i="34"/>
  <c r="A11" i="34"/>
  <c r="B21" i="14"/>
  <c r="D21" i="14"/>
  <c r="G21" i="14"/>
  <c r="A21" i="14"/>
  <c r="C21" i="14"/>
  <c r="E21" i="14"/>
  <c r="H21" i="14"/>
  <c r="A18" i="14"/>
  <c r="A17" i="14"/>
  <c r="A16" i="14"/>
  <c r="A20" i="14"/>
  <c r="A15" i="14"/>
  <c r="A19" i="14"/>
  <c r="A14" i="14"/>
  <c r="E56" i="14" s="1"/>
  <c r="G2" i="56"/>
  <c r="F15" i="56"/>
  <c r="K15" i="34"/>
  <c r="K12" i="34"/>
  <c r="K16" i="34"/>
  <c r="K13" i="34"/>
  <c r="E17" i="57"/>
  <c r="E18" i="57"/>
  <c r="E14" i="57"/>
  <c r="E15" i="57"/>
  <c r="E16" i="57"/>
  <c r="V10" i="34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I36" i="58" s="1"/>
  <c r="C17" i="57"/>
  <c r="F16" i="57"/>
  <c r="H16" i="57" s="1"/>
  <c r="B16" i="57"/>
  <c r="C18" i="57"/>
  <c r="F17" i="57"/>
  <c r="H17" i="57" s="1"/>
  <c r="B17" i="57"/>
  <c r="C14" i="57"/>
  <c r="J3" i="57" s="1"/>
  <c r="F18" i="57"/>
  <c r="H18" i="57" s="1"/>
  <c r="B18" i="57"/>
  <c r="C15" i="57"/>
  <c r="F14" i="57"/>
  <c r="B14" i="57"/>
  <c r="A14" i="57" s="1"/>
  <c r="J23" i="57" s="1"/>
  <c r="C16" i="57"/>
  <c r="F15" i="57"/>
  <c r="H15" i="57" s="1"/>
  <c r="B15" i="57"/>
  <c r="I13" i="61"/>
  <c r="I14" i="61" s="1"/>
  <c r="C13" i="61"/>
  <c r="C14" i="61" s="1"/>
  <c r="A30" i="47" l="1"/>
  <c r="D52" i="47"/>
  <c r="F49" i="47"/>
  <c r="D47" i="47"/>
  <c r="F50" i="47"/>
  <c r="D48" i="47"/>
  <c r="F51" i="47"/>
  <c r="D49" i="47"/>
  <c r="B47" i="47"/>
  <c r="A51" i="47"/>
  <c r="F48" i="47"/>
  <c r="D51" i="47"/>
  <c r="B49" i="47"/>
  <c r="G52" i="47"/>
  <c r="B50" i="47"/>
  <c r="G47" i="47"/>
  <c r="B51" i="47"/>
  <c r="G48" i="47"/>
  <c r="F52" i="47"/>
  <c r="D50" i="47"/>
  <c r="B48" i="47"/>
  <c r="B52" i="47"/>
  <c r="G50" i="47"/>
  <c r="E48" i="47"/>
  <c r="G51" i="47"/>
  <c r="E49" i="47"/>
  <c r="C47" i="47"/>
  <c r="E50" i="47"/>
  <c r="C48" i="47"/>
  <c r="A52" i="47"/>
  <c r="G49" i="47"/>
  <c r="E47" i="47"/>
  <c r="E52" i="47"/>
  <c r="C50" i="47"/>
  <c r="A48" i="47"/>
  <c r="C51" i="47"/>
  <c r="A49" i="47"/>
  <c r="C52" i="47"/>
  <c r="A50" i="47"/>
  <c r="F47" i="47"/>
  <c r="E51" i="47"/>
  <c r="C49" i="47"/>
  <c r="A47" i="47"/>
  <c r="G46" i="47"/>
  <c r="E44" i="47"/>
  <c r="C42" i="47"/>
  <c r="A40" i="47"/>
  <c r="F37" i="47"/>
  <c r="D35" i="47"/>
  <c r="B33" i="47"/>
  <c r="F46" i="47"/>
  <c r="D44" i="47"/>
  <c r="B42" i="47"/>
  <c r="G39" i="47"/>
  <c r="E37" i="47"/>
  <c r="C35" i="47"/>
  <c r="A33" i="47"/>
  <c r="E46" i="47"/>
  <c r="C44" i="47"/>
  <c r="A42" i="47"/>
  <c r="F39" i="47"/>
  <c r="D37" i="47"/>
  <c r="B35" i="47"/>
  <c r="G32" i="47"/>
  <c r="D46" i="47"/>
  <c r="B44" i="47"/>
  <c r="G41" i="47"/>
  <c r="E39" i="47"/>
  <c r="C37" i="47"/>
  <c r="A35" i="47"/>
  <c r="F32" i="47"/>
  <c r="C46" i="47"/>
  <c r="A44" i="47"/>
  <c r="F41" i="47"/>
  <c r="D39" i="47"/>
  <c r="B37" i="47"/>
  <c r="G34" i="47"/>
  <c r="E32" i="47"/>
  <c r="B46" i="47"/>
  <c r="G43" i="47"/>
  <c r="E41" i="47"/>
  <c r="C39" i="47"/>
  <c r="A37" i="47"/>
  <c r="F34" i="47"/>
  <c r="D32" i="47"/>
  <c r="A46" i="47"/>
  <c r="F43" i="47"/>
  <c r="D41" i="47"/>
  <c r="B39" i="47"/>
  <c r="G36" i="47"/>
  <c r="E34" i="47"/>
  <c r="C32" i="47"/>
  <c r="G45" i="47"/>
  <c r="E43" i="47"/>
  <c r="C41" i="47"/>
  <c r="A39" i="47"/>
  <c r="F36" i="47"/>
  <c r="D34" i="47"/>
  <c r="B32" i="47"/>
  <c r="F45" i="47"/>
  <c r="D43" i="47"/>
  <c r="B41" i="47"/>
  <c r="G38" i="47"/>
  <c r="E36" i="47"/>
  <c r="C34" i="47"/>
  <c r="A32" i="47"/>
  <c r="E45" i="47"/>
  <c r="C43" i="47"/>
  <c r="A41" i="47"/>
  <c r="F38" i="47"/>
  <c r="D36" i="47"/>
  <c r="B34" i="47"/>
  <c r="G31" i="47"/>
  <c r="D45" i="47"/>
  <c r="B43" i="47"/>
  <c r="G40" i="47"/>
  <c r="E38" i="47"/>
  <c r="C36" i="47"/>
  <c r="A34" i="47"/>
  <c r="F31" i="47"/>
  <c r="C45" i="47"/>
  <c r="A43" i="47"/>
  <c r="F40" i="47"/>
  <c r="D38" i="47"/>
  <c r="B36" i="47"/>
  <c r="G33" i="47"/>
  <c r="E31" i="47"/>
  <c r="B45" i="47"/>
  <c r="G42" i="47"/>
  <c r="E40" i="47"/>
  <c r="C38" i="47"/>
  <c r="A36" i="47"/>
  <c r="F33" i="47"/>
  <c r="D31" i="47"/>
  <c r="A45" i="47"/>
  <c r="F42" i="47"/>
  <c r="D40" i="47"/>
  <c r="B38" i="47"/>
  <c r="G35" i="47"/>
  <c r="E33" i="47"/>
  <c r="C31" i="47"/>
  <c r="G44" i="47"/>
  <c r="E42" i="47"/>
  <c r="C40" i="47"/>
  <c r="A38" i="47"/>
  <c r="F35" i="47"/>
  <c r="D33" i="47"/>
  <c r="B31" i="47"/>
  <c r="F44" i="47"/>
  <c r="D42" i="47"/>
  <c r="B40" i="47"/>
  <c r="G37" i="47"/>
  <c r="E35" i="47"/>
  <c r="C33" i="47"/>
  <c r="A31" i="47"/>
  <c r="H29" i="60"/>
  <c r="H25" i="60"/>
  <c r="J25" i="60" s="1"/>
  <c r="H19" i="60"/>
  <c r="J19" i="60" s="1"/>
  <c r="H9" i="60"/>
  <c r="J9" i="60" s="1"/>
  <c r="H23" i="60"/>
  <c r="J23" i="60" s="1"/>
  <c r="H15" i="60"/>
  <c r="J15" i="60" s="1"/>
  <c r="H34" i="60"/>
  <c r="J34" i="60" s="1"/>
  <c r="H30" i="60"/>
  <c r="J30" i="60" s="1"/>
  <c r="H26" i="60"/>
  <c r="J26" i="60" s="1"/>
  <c r="H21" i="60"/>
  <c r="J21" i="60" s="1"/>
  <c r="H14" i="60"/>
  <c r="J14" i="60" s="1"/>
  <c r="H10" i="60"/>
  <c r="J10" i="60" s="1"/>
  <c r="H33" i="60"/>
  <c r="J33" i="60" s="1"/>
  <c r="H27" i="60"/>
  <c r="J27" i="60" s="1"/>
  <c r="H35" i="60"/>
  <c r="J35" i="60" s="1"/>
  <c r="H32" i="60"/>
  <c r="J32" i="60" s="1"/>
  <c r="H28" i="60"/>
  <c r="J28" i="60" s="1"/>
  <c r="H24" i="60"/>
  <c r="J24" i="60" s="1"/>
  <c r="H16" i="60"/>
  <c r="J16" i="60" s="1"/>
  <c r="H12" i="60"/>
  <c r="J12" i="60" s="1"/>
  <c r="H31" i="60"/>
  <c r="J31" i="60" s="1"/>
  <c r="H8" i="60"/>
  <c r="H11" i="60"/>
  <c r="J11" i="60" s="1"/>
  <c r="H13" i="60"/>
  <c r="J13" i="60" s="1"/>
  <c r="J29" i="60"/>
  <c r="K327" i="34"/>
  <c r="F38" i="15" s="1" a="1"/>
  <c r="F38" i="15" s="1"/>
  <c r="D30" i="47"/>
  <c r="F30" i="47"/>
  <c r="G30" i="47"/>
  <c r="B30" i="47"/>
  <c r="E30" i="47"/>
  <c r="C30" i="47"/>
  <c r="H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A35" i="58"/>
  <c r="F2" i="58"/>
  <c r="B22" i="57"/>
  <c r="A55" i="14"/>
  <c r="G18" i="56"/>
  <c r="G20" i="56"/>
  <c r="G22" i="56"/>
  <c r="G24" i="56"/>
  <c r="G17" i="56"/>
  <c r="G19" i="56"/>
  <c r="G21" i="56"/>
  <c r="G23" i="56"/>
  <c r="G25" i="56"/>
  <c r="B25" i="56"/>
  <c r="F25" i="56"/>
  <c r="H25" i="56" s="1"/>
  <c r="A30" i="56"/>
  <c r="B17" i="56"/>
  <c r="D17" i="56" s="1"/>
  <c r="M8" i="39"/>
  <c r="K59" i="55"/>
  <c r="B24" i="56"/>
  <c r="F24" i="56"/>
  <c r="M9" i="39"/>
  <c r="H51" i="14"/>
  <c r="G51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 s="1"/>
  <c r="A9" i="56"/>
  <c r="D6" i="56"/>
  <c r="F31" i="56" s="1"/>
  <c r="F20" i="56"/>
  <c r="B18" i="56"/>
  <c r="D18" i="56" s="1"/>
  <c r="F18" i="56"/>
  <c r="B20" i="56"/>
  <c r="D20" i="56" s="1"/>
  <c r="G8" i="56"/>
  <c r="H32" i="71"/>
  <c r="J14" i="71"/>
  <c r="I14" i="71"/>
  <c r="G32" i="71"/>
  <c r="I14" i="14"/>
  <c r="F20" i="47"/>
  <c r="J7" i="60"/>
  <c r="B12" i="61"/>
  <c r="D13" i="61"/>
  <c r="D14" i="61" s="1"/>
  <c r="G13" i="61"/>
  <c r="G14" i="61" s="1"/>
  <c r="E13" i="61"/>
  <c r="E14" i="61" s="1"/>
  <c r="J8" i="60"/>
  <c r="G15" i="47"/>
  <c r="G18" i="47"/>
  <c r="F16" i="4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A21" i="58" s="1"/>
  <c r="A22" i="58" s="1"/>
  <c r="A23" i="58" s="1"/>
  <c r="F24" i="58"/>
  <c r="A27" i="58"/>
  <c r="J14" i="14"/>
  <c r="G32" i="58"/>
  <c r="A29" i="58"/>
  <c r="A26" i="58"/>
  <c r="A18" i="47"/>
  <c r="C16" i="47"/>
  <c r="A15" i="47"/>
  <c r="E59" i="47" s="1"/>
  <c r="G20" i="47"/>
  <c r="H32" i="58"/>
  <c r="I14" i="58"/>
  <c r="I15" i="58" s="1"/>
  <c r="I16" i="58" s="1"/>
  <c r="I17" i="58" s="1"/>
  <c r="I18" i="58" s="1"/>
  <c r="I19" i="58" s="1"/>
  <c r="I20" i="58" s="1"/>
  <c r="I21" i="58" s="1"/>
  <c r="I22" i="58" s="1"/>
  <c r="I23" i="58" s="1"/>
  <c r="F20" i="58"/>
  <c r="F28" i="58"/>
  <c r="F14" i="58"/>
  <c r="A25" i="58"/>
  <c r="A30" i="58"/>
  <c r="E5" i="58"/>
  <c r="J14" i="57"/>
  <c r="J18" i="57"/>
  <c r="A15" i="57"/>
  <c r="A16" i="57" s="1"/>
  <c r="A17" i="57" s="1"/>
  <c r="A18" i="57" s="1"/>
  <c r="G20" i="57"/>
  <c r="I20" i="57"/>
  <c r="H14" i="57"/>
  <c r="J15" i="57"/>
  <c r="K14" i="57"/>
  <c r="K15" i="57" s="1"/>
  <c r="K16" i="57" s="1"/>
  <c r="K17" i="57" s="1"/>
  <c r="K18" i="57" s="1"/>
  <c r="J16" i="57"/>
  <c r="J17" i="57"/>
  <c r="B13" i="61"/>
  <c r="I52" i="47" l="1"/>
  <c r="H52" i="47"/>
  <c r="E38" i="15" a="1"/>
  <c r="E38" i="15" s="1"/>
  <c r="J20" i="55" a="1"/>
  <c r="J20" i="55" s="1"/>
  <c r="J53" i="55" a="1"/>
  <c r="J53" i="55" s="1"/>
  <c r="J46" i="55" a="1"/>
  <c r="J46" i="55" s="1"/>
  <c r="H56" i="55" a="1"/>
  <c r="H56" i="55" s="1"/>
  <c r="H27" i="55" a="1"/>
  <c r="H27" i="55" s="1"/>
  <c r="J16" i="55" a="1"/>
  <c r="J16" i="55" s="1"/>
  <c r="H30" i="55" a="1"/>
  <c r="H30" i="55" s="1"/>
  <c r="H54" i="55" a="1"/>
  <c r="H54" i="55" s="1"/>
  <c r="E37" i="15" a="1"/>
  <c r="E37" i="15" s="1"/>
  <c r="H55" i="55" a="1"/>
  <c r="H55" i="55" s="1"/>
  <c r="J12" i="55" a="1"/>
  <c r="J12" i="55" s="1"/>
  <c r="H29" i="55" a="1"/>
  <c r="H29" i="55" s="1"/>
  <c r="H57" i="55" a="1"/>
  <c r="H57" i="55" s="1"/>
  <c r="J31" i="55" a="1"/>
  <c r="J31" i="55" s="1"/>
  <c r="J57" i="55" a="1"/>
  <c r="J57" i="55" s="1"/>
  <c r="J47" i="55" a="1"/>
  <c r="J47" i="55" s="1"/>
  <c r="J37" i="55" a="1"/>
  <c r="J37" i="55" s="1"/>
  <c r="J35" i="55" a="1"/>
  <c r="J35" i="55" s="1"/>
  <c r="J17" i="55" a="1"/>
  <c r="J17" i="55" s="1"/>
  <c r="H47" i="55" a="1"/>
  <c r="H47" i="55" s="1"/>
  <c r="J23" i="55" a="1"/>
  <c r="J23" i="55" s="1"/>
  <c r="H36" i="55" a="1"/>
  <c r="H36" i="55" s="1"/>
  <c r="H16" i="55" a="1"/>
  <c r="H16" i="55" s="1"/>
  <c r="H35" i="55" a="1"/>
  <c r="H35" i="55" s="1"/>
  <c r="H31" i="55" a="1"/>
  <c r="H31" i="55" s="1"/>
  <c r="J48" i="55" a="1"/>
  <c r="J48" i="55" s="1"/>
  <c r="H37" i="55" a="1"/>
  <c r="H37" i="55" s="1"/>
  <c r="J26" i="55" a="1"/>
  <c r="J26" i="55" s="1"/>
  <c r="H17" i="55" a="1"/>
  <c r="H17" i="55" s="1"/>
  <c r="H26" i="55" a="1"/>
  <c r="H26" i="55" s="1"/>
  <c r="J22" i="55" a="1"/>
  <c r="J22" i="55" s="1"/>
  <c r="J29" i="55" a="1"/>
  <c r="J29" i="55" s="1"/>
  <c r="J55" i="55" a="1"/>
  <c r="J55" i="55" s="1"/>
  <c r="J51" i="55" a="1"/>
  <c r="J51" i="55" s="1"/>
  <c r="J14" i="55" a="1"/>
  <c r="J14" i="55" s="1"/>
  <c r="H38" i="55" a="1"/>
  <c r="H38" i="55" s="1"/>
  <c r="J42" i="55" a="1"/>
  <c r="J42" i="55" s="1"/>
  <c r="H52" i="55" a="1"/>
  <c r="H52" i="55" s="1"/>
  <c r="H14" i="55" a="1"/>
  <c r="H14" i="55" s="1"/>
  <c r="J52" i="55" a="1"/>
  <c r="J52" i="55" s="1"/>
  <c r="J38" i="55" a="1"/>
  <c r="J38" i="55" s="1"/>
  <c r="H48" i="55" a="1"/>
  <c r="H48" i="55" s="1"/>
  <c r="H51" i="55" a="1"/>
  <c r="H51" i="55" s="1"/>
  <c r="H42" i="55" a="1"/>
  <c r="H42" i="55" s="1"/>
  <c r="H22" i="55" a="1"/>
  <c r="H22" i="55" s="1"/>
  <c r="H13" i="55" a="1"/>
  <c r="H13" i="55" s="1"/>
  <c r="H12" i="55" a="1"/>
  <c r="H12" i="55" s="1"/>
  <c r="J34" i="55" a="1"/>
  <c r="J34" i="55" s="1"/>
  <c r="J49" i="55" a="1"/>
  <c r="J49" i="55" s="1"/>
  <c r="J13" i="55" a="1"/>
  <c r="J13" i="55" s="1"/>
  <c r="H20" i="55" a="1"/>
  <c r="H20" i="55" s="1"/>
  <c r="H53" i="55" a="1"/>
  <c r="H53" i="55" s="1"/>
  <c r="L53" i="55" s="1"/>
  <c r="H41" i="55" a="1"/>
  <c r="H41" i="55" s="1"/>
  <c r="H19" i="55" a="1"/>
  <c r="H19" i="55" s="1"/>
  <c r="J54" i="55" a="1"/>
  <c r="J54" i="55" s="1"/>
  <c r="J56" i="55" a="1"/>
  <c r="J56" i="55" s="1"/>
  <c r="J44" i="55" a="1"/>
  <c r="J44" i="55" s="1"/>
  <c r="H43" i="55" a="1"/>
  <c r="H43" i="55" s="1"/>
  <c r="H45" i="55" a="1"/>
  <c r="H45" i="55" s="1"/>
  <c r="H28" i="55" a="1"/>
  <c r="H28" i="55" s="1"/>
  <c r="H34" i="55" a="1"/>
  <c r="H34" i="55" s="1"/>
  <c r="H40" i="55" a="1"/>
  <c r="H40" i="55" s="1"/>
  <c r="J32" i="55" a="1"/>
  <c r="J32" i="55" s="1"/>
  <c r="J30" i="55" a="1"/>
  <c r="J30" i="55" s="1"/>
  <c r="H39" i="55" a="1"/>
  <c r="H39" i="55" s="1"/>
  <c r="J27" i="55" a="1"/>
  <c r="J27" i="55" s="1"/>
  <c r="L27" i="55" s="1"/>
  <c r="J41" i="55" a="1"/>
  <c r="J41" i="55" s="1"/>
  <c r="J45" i="55" a="1"/>
  <c r="J45" i="55" s="1"/>
  <c r="J39" i="55" a="1"/>
  <c r="J39" i="55" s="1"/>
  <c r="H24" i="55" a="1"/>
  <c r="H24" i="55" s="1"/>
  <c r="J50" i="55" a="1"/>
  <c r="J50" i="55" s="1"/>
  <c r="H15" i="55" a="1"/>
  <c r="H15" i="55" s="1"/>
  <c r="J24" i="55" a="1"/>
  <c r="J24" i="55" s="1"/>
  <c r="H25" i="55" a="1"/>
  <c r="H25" i="55" s="1"/>
  <c r="J43" i="55" a="1"/>
  <c r="J43" i="55" s="1"/>
  <c r="J18" i="55" a="1"/>
  <c r="J18" i="55" s="1"/>
  <c r="J21" i="55" a="1"/>
  <c r="J21" i="55" s="1"/>
  <c r="H49" i="55" a="1"/>
  <c r="H49" i="55" s="1"/>
  <c r="H21" i="55" a="1"/>
  <c r="H21" i="55" s="1"/>
  <c r="H50" i="55" a="1"/>
  <c r="H50" i="55" s="1"/>
  <c r="J19" i="55" a="1"/>
  <c r="J19" i="55" s="1"/>
  <c r="J40" i="55" a="1"/>
  <c r="J40" i="55" s="1"/>
  <c r="J28" i="55" a="1"/>
  <c r="J28" i="55" s="1"/>
  <c r="H23" i="55" a="1"/>
  <c r="H23" i="55" s="1"/>
  <c r="H46" i="55" a="1"/>
  <c r="H46" i="55" s="1"/>
  <c r="J25" i="55" a="1"/>
  <c r="J25" i="55" s="1"/>
  <c r="H44" i="55" a="1"/>
  <c r="H44" i="55" s="1"/>
  <c r="L44" i="55" s="1"/>
  <c r="H18" i="55" a="1"/>
  <c r="H18" i="55" s="1"/>
  <c r="J33" i="55" a="1"/>
  <c r="J33" i="55" s="1"/>
  <c r="J36" i="55" a="1"/>
  <c r="J36" i="55" s="1"/>
  <c r="H33" i="55" a="1"/>
  <c r="H33" i="55" s="1"/>
  <c r="H32" i="55" a="1"/>
  <c r="H32" i="55" s="1"/>
  <c r="J15" i="55" a="1"/>
  <c r="J15" i="55" s="1"/>
  <c r="F37" i="15" a="1"/>
  <c r="F37" i="15" s="1"/>
  <c r="G3" i="47"/>
  <c r="C58" i="47"/>
  <c r="H17" i="56"/>
  <c r="H19" i="56"/>
  <c r="H20" i="56"/>
  <c r="H23" i="56"/>
  <c r="D25" i="56"/>
  <c r="H18" i="56"/>
  <c r="H24" i="56"/>
  <c r="H21" i="56"/>
  <c r="H22" i="56"/>
  <c r="G3" i="56"/>
  <c r="G4" i="56"/>
  <c r="D24" i="56"/>
  <c r="D23" i="56"/>
  <c r="D22" i="56"/>
  <c r="D21" i="56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I52" i="14"/>
  <c r="F15" i="43"/>
  <c r="F21" i="43"/>
  <c r="G16" i="43"/>
  <c r="G15" i="43"/>
  <c r="F19" i="43"/>
  <c r="G14" i="43"/>
  <c r="G20" i="43"/>
  <c r="G13" i="43"/>
  <c r="G29" i="43"/>
  <c r="F12" i="43"/>
  <c r="F16" i="43"/>
  <c r="F17" i="43"/>
  <c r="H5" i="39"/>
  <c r="M16" i="39" s="1"/>
  <c r="F13" i="43"/>
  <c r="G25" i="43"/>
  <c r="F23" i="43"/>
  <c r="F24" i="43"/>
  <c r="F29" i="43"/>
  <c r="G27" i="43"/>
  <c r="G28" i="43"/>
  <c r="G23" i="43"/>
  <c r="F22" i="43"/>
  <c r="F14" i="43"/>
  <c r="G24" i="43"/>
  <c r="F27" i="43"/>
  <c r="G21" i="43"/>
  <c r="G19" i="43"/>
  <c r="G12" i="43"/>
  <c r="G26" i="43"/>
  <c r="G17" i="43"/>
  <c r="F28" i="43"/>
  <c r="G22" i="43"/>
  <c r="F25" i="43"/>
  <c r="G18" i="43"/>
  <c r="F20" i="43"/>
  <c r="F26" i="43"/>
  <c r="F18" i="43"/>
  <c r="J15" i="14"/>
  <c r="H37" i="60"/>
  <c r="B14" i="61"/>
  <c r="I15" i="14"/>
  <c r="I13" i="42"/>
  <c r="J52" i="14"/>
  <c r="I32" i="58"/>
  <c r="G54" i="47"/>
  <c r="B21" i="42"/>
  <c r="E27" i="43"/>
  <c r="C25" i="43"/>
  <c r="A23" i="43"/>
  <c r="D18" i="43"/>
  <c r="B16" i="43"/>
  <c r="E29" i="43"/>
  <c r="E26" i="43"/>
  <c r="D23" i="43"/>
  <c r="D20" i="43"/>
  <c r="D17" i="43"/>
  <c r="C14" i="43"/>
  <c r="B29" i="43"/>
  <c r="B26" i="43"/>
  <c r="B23" i="43"/>
  <c r="A20" i="43"/>
  <c r="A17" i="43"/>
  <c r="A14" i="43"/>
  <c r="C28" i="43"/>
  <c r="B25" i="43"/>
  <c r="B22" i="43"/>
  <c r="B19" i="43"/>
  <c r="A16" i="43"/>
  <c r="A13" i="43"/>
  <c r="B27" i="43"/>
  <c r="C20" i="43"/>
  <c r="E25" i="43"/>
  <c r="D13" i="43"/>
  <c r="C29" i="43"/>
  <c r="A27" i="43"/>
  <c r="D22" i="43"/>
  <c r="B20" i="43"/>
  <c r="E15" i="43"/>
  <c r="C13" i="43"/>
  <c r="E16" i="43"/>
  <c r="E13" i="43"/>
  <c r="D28" i="43"/>
  <c r="D25" i="43"/>
  <c r="C22" i="43"/>
  <c r="C19" i="43"/>
  <c r="C16" i="43"/>
  <c r="B13" i="43"/>
  <c r="D27" i="43"/>
  <c r="D24" i="43"/>
  <c r="D21" i="43"/>
  <c r="C18" i="43"/>
  <c r="C15" i="43"/>
  <c r="C12" i="43"/>
  <c r="A24" i="43"/>
  <c r="D29" i="43"/>
  <c r="B17" i="43"/>
  <c r="E22" i="43"/>
  <c r="D26" i="43"/>
  <c r="B24" i="43"/>
  <c r="E19" i="43"/>
  <c r="C17" i="43"/>
  <c r="A15" i="43"/>
  <c r="B28" i="43"/>
  <c r="E23" i="43"/>
  <c r="C21" i="43"/>
  <c r="A19" i="43"/>
  <c r="D14" i="43"/>
  <c r="B12" i="43"/>
  <c r="C27" i="43"/>
  <c r="C24" i="43"/>
  <c r="B21" i="43"/>
  <c r="B18" i="43"/>
  <c r="B15" i="43"/>
  <c r="A29" i="43"/>
  <c r="A26" i="43"/>
  <c r="E12" i="43"/>
  <c r="A18" i="43"/>
  <c r="C23" i="43"/>
  <c r="E28" i="43"/>
  <c r="D16" i="43"/>
  <c r="E24" i="43"/>
  <c r="D12" i="43"/>
  <c r="E17" i="43"/>
  <c r="A21" i="43"/>
  <c r="A28" i="43"/>
  <c r="E21" i="43"/>
  <c r="E14" i="43"/>
  <c r="C26" i="43"/>
  <c r="A25" i="43"/>
  <c r="E18" i="43"/>
  <c r="B14" i="43"/>
  <c r="A22" i="43"/>
  <c r="D15" i="43"/>
  <c r="E20" i="43"/>
  <c r="D19" i="43"/>
  <c r="A16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E18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G47" i="42"/>
  <c r="B45" i="42"/>
  <c r="E42" i="42"/>
  <c r="G39" i="42"/>
  <c r="B37" i="42"/>
  <c r="E34" i="42"/>
  <c r="G31" i="42"/>
  <c r="B29" i="42"/>
  <c r="E26" i="42"/>
  <c r="G23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G49" i="42"/>
  <c r="B47" i="42"/>
  <c r="E44" i="42"/>
  <c r="G41" i="42"/>
  <c r="B39" i="42"/>
  <c r="E36" i="42"/>
  <c r="G33" i="42"/>
  <c r="B31" i="42"/>
  <c r="E28" i="42"/>
  <c r="G25" i="42"/>
  <c r="B23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B49" i="42"/>
  <c r="E46" i="42"/>
  <c r="G43" i="42"/>
  <c r="B41" i="42"/>
  <c r="E38" i="42"/>
  <c r="G35" i="42"/>
  <c r="B33" i="42"/>
  <c r="E30" i="42"/>
  <c r="G27" i="42"/>
  <c r="B2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 s="1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E48" i="42"/>
  <c r="G45" i="42"/>
  <c r="B43" i="42"/>
  <c r="E40" i="42"/>
  <c r="G37" i="42"/>
  <c r="B35" i="42"/>
  <c r="E32" i="42"/>
  <c r="G29" i="42"/>
  <c r="B27" i="42"/>
  <c r="E24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C15" i="39"/>
  <c r="C12" i="39"/>
  <c r="K20" i="57"/>
  <c r="L14" i="57"/>
  <c r="L15" i="57" s="1"/>
  <c r="L16" i="57" s="1"/>
  <c r="L17" i="57" s="1"/>
  <c r="L18" i="57" s="1"/>
  <c r="L46" i="55" l="1"/>
  <c r="L36" i="55"/>
  <c r="L23" i="55"/>
  <c r="L12" i="55"/>
  <c r="L16" i="55"/>
  <c r="L31" i="55"/>
  <c r="L30" i="55"/>
  <c r="L35" i="55"/>
  <c r="L48" i="55"/>
  <c r="L32" i="55"/>
  <c r="L49" i="55"/>
  <c r="L14" i="55"/>
  <c r="L17" i="55"/>
  <c r="L42" i="55"/>
  <c r="L51" i="55"/>
  <c r="L37" i="55"/>
  <c r="L19" i="55"/>
  <c r="L22" i="55"/>
  <c r="L26" i="55"/>
  <c r="L47" i="55"/>
  <c r="L18" i="55"/>
  <c r="L41" i="55"/>
  <c r="L33" i="55"/>
  <c r="L13" i="55"/>
  <c r="L52" i="55"/>
  <c r="L55" i="55"/>
  <c r="L56" i="55"/>
  <c r="L38" i="55"/>
  <c r="L50" i="55"/>
  <c r="L34" i="55"/>
  <c r="L57" i="55"/>
  <c r="L29" i="55"/>
  <c r="L54" i="55"/>
  <c r="L21" i="55"/>
  <c r="L25" i="55"/>
  <c r="L24" i="55"/>
  <c r="L45" i="55"/>
  <c r="L40" i="55"/>
  <c r="L15" i="55"/>
  <c r="L28" i="55"/>
  <c r="L43" i="55"/>
  <c r="L39" i="55"/>
  <c r="L20" i="55"/>
  <c r="I37" i="15"/>
  <c r="A6" i="42"/>
  <c r="A84" i="42"/>
  <c r="I85" i="42"/>
  <c r="H27" i="56"/>
  <c r="I16" i="71"/>
  <c r="J16" i="71"/>
  <c r="J16" i="14"/>
  <c r="G31" i="43"/>
  <c r="I16" i="14"/>
  <c r="G80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E95" i="42"/>
  <c r="H80" i="42"/>
  <c r="A29" i="56"/>
  <c r="J17" i="71" l="1"/>
  <c r="I17" i="71"/>
  <c r="I17" i="14"/>
  <c r="J17" i="14"/>
  <c r="I81" i="42"/>
  <c r="I18" i="71" l="1"/>
  <c r="J18" i="71"/>
  <c r="J18" i="14"/>
  <c r="I18" i="14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l="1"/>
  <c r="I23" i="14"/>
  <c r="J23" i="14"/>
  <c r="J23" i="71"/>
  <c r="F15" i="47"/>
  <c r="J24" i="71" l="1"/>
  <c r="I24" i="71"/>
  <c r="J24" i="14"/>
  <c r="I24" i="14"/>
  <c r="F54" i="47"/>
  <c r="I55" i="47" s="1"/>
  <c r="H15" i="47"/>
  <c r="I15" i="47"/>
  <c r="J25" i="71" l="1"/>
  <c r="I25" i="71"/>
  <c r="I25" i="14"/>
  <c r="J25" i="14"/>
  <c r="H55" i="47"/>
  <c r="I16" i="47"/>
  <c r="H16" i="47"/>
  <c r="J26" i="71" l="1"/>
  <c r="I26" i="71"/>
  <c r="J26" i="14"/>
  <c r="I26" i="14"/>
  <c r="H17" i="47"/>
  <c r="I17" i="47"/>
  <c r="I27" i="71" l="1"/>
  <c r="J27" i="71"/>
  <c r="I27" i="14"/>
  <c r="J27" i="14"/>
  <c r="I18" i="47"/>
  <c r="H18" i="47"/>
  <c r="I28" i="71" l="1"/>
  <c r="J28" i="71"/>
  <c r="J29" i="71" s="1"/>
  <c r="J28" i="14"/>
  <c r="I28" i="14"/>
  <c r="H19" i="47"/>
  <c r="I19" i="47"/>
  <c r="I29" i="14" l="1"/>
  <c r="I29" i="71"/>
  <c r="J29" i="14"/>
  <c r="I30" i="71"/>
  <c r="J30" i="71"/>
  <c r="I20" i="47"/>
  <c r="H20" i="47"/>
  <c r="J30" i="14" l="1"/>
  <c r="H21" i="47"/>
  <c r="I21" i="47"/>
  <c r="I30" i="14"/>
  <c r="F31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I31" i="14" l="1"/>
  <c r="I22" i="47"/>
  <c r="H22" i="47"/>
  <c r="J31" i="14"/>
  <c r="H31" i="43"/>
  <c r="H32" i="43" s="1"/>
  <c r="J32" i="14" l="1"/>
  <c r="I23" i="47"/>
  <c r="H23" i="47"/>
  <c r="I32" i="14"/>
  <c r="I33" i="14" l="1"/>
  <c r="H24" i="47"/>
  <c r="I24" i="47"/>
  <c r="J33" i="14"/>
  <c r="J34" i="14" l="1"/>
  <c r="I25" i="47"/>
  <c r="H25" i="47"/>
  <c r="I34" i="14"/>
  <c r="I35" i="14" l="1"/>
  <c r="H26" i="47"/>
  <c r="I26" i="47"/>
  <c r="J35" i="14"/>
  <c r="J36" i="14" l="1"/>
  <c r="I27" i="47"/>
  <c r="H27" i="47"/>
  <c r="I36" i="14"/>
  <c r="I37" i="14" l="1"/>
  <c r="H28" i="47"/>
  <c r="I28" i="47"/>
  <c r="J37" i="14"/>
  <c r="J38" i="14" l="1"/>
  <c r="I29" i="47"/>
  <c r="H29" i="47"/>
  <c r="I38" i="14"/>
  <c r="I39" i="14" l="1"/>
  <c r="H30" i="47"/>
  <c r="I30" i="47"/>
  <c r="J39" i="14"/>
  <c r="I31" i="47" l="1"/>
  <c r="H31" i="47"/>
  <c r="H32" i="47" s="1"/>
  <c r="J40" i="14"/>
  <c r="I40" i="14"/>
  <c r="I32" i="47" l="1"/>
  <c r="I33" i="47" s="1"/>
  <c r="I41" i="14"/>
  <c r="J41" i="14"/>
  <c r="H33" i="47" l="1"/>
  <c r="H34" i="47" s="1"/>
  <c r="J42" i="14"/>
  <c r="I42" i="14"/>
  <c r="I34" i="47" l="1"/>
  <c r="I35" i="47" s="1"/>
  <c r="I43" i="14"/>
  <c r="J43" i="14"/>
  <c r="H35" i="47" l="1"/>
  <c r="H36" i="47" s="1"/>
  <c r="J44" i="14"/>
  <c r="I44" i="14"/>
  <c r="I36" i="47" l="1"/>
  <c r="I45" i="14"/>
  <c r="J45" i="14"/>
  <c r="I37" i="47" l="1"/>
  <c r="H37" i="47"/>
  <c r="H38" i="47" s="1"/>
  <c r="J46" i="14"/>
  <c r="I46" i="14"/>
  <c r="I38" i="47" l="1"/>
  <c r="I39" i="47" s="1"/>
  <c r="I47" i="14"/>
  <c r="J47" i="14"/>
  <c r="H39" i="47" l="1"/>
  <c r="H40" i="47" s="1"/>
  <c r="J48" i="14"/>
  <c r="I48" i="14"/>
  <c r="I40" i="47" l="1"/>
  <c r="I41" i="47" s="1"/>
  <c r="I49" i="14"/>
  <c r="J49" i="14"/>
  <c r="H41" i="47" l="1"/>
  <c r="H42" i="47" s="1"/>
  <c r="J20" i="57"/>
  <c r="I42" i="47" l="1"/>
  <c r="I43" i="47" s="1"/>
  <c r="I24" i="73"/>
  <c r="H24" i="73"/>
  <c r="H10" i="73"/>
  <c r="I10" i="73"/>
  <c r="H20" i="57"/>
  <c r="L20" i="57" s="1"/>
  <c r="H43" i="47" l="1"/>
  <c r="H44" i="47" s="1"/>
  <c r="I52" i="73"/>
  <c r="H52" i="73"/>
  <c r="I44" i="47" l="1"/>
  <c r="I45" i="47" s="1"/>
  <c r="F45" i="15" a="1"/>
  <c r="F45" i="15" s="1"/>
  <c r="D13" i="39"/>
  <c r="F46" i="15" a="1"/>
  <c r="F46" i="15" s="1"/>
  <c r="F48" i="15" a="1"/>
  <c r="F48" i="15" s="1"/>
  <c r="F43" i="15" a="1"/>
  <c r="F43" i="15" s="1"/>
  <c r="E45" i="15" a="1"/>
  <c r="E45" i="15" s="1"/>
  <c r="I45" i="15" s="1"/>
  <c r="F9" i="70" a="1"/>
  <c r="F9" i="70" s="1"/>
  <c r="E46" i="15" a="1"/>
  <c r="E46" i="15" s="1"/>
  <c r="F39" i="15"/>
  <c r="E42" i="15" a="1"/>
  <c r="E42" i="15" s="1"/>
  <c r="E44" i="15" a="1"/>
  <c r="E44" i="15" s="1"/>
  <c r="E43" i="15" a="1"/>
  <c r="E43" i="15" s="1"/>
  <c r="I43" i="15" s="1"/>
  <c r="E25" i="15" a="1"/>
  <c r="E25" i="15" s="1"/>
  <c r="E7" i="12" a="1"/>
  <c r="E7" i="12" s="1"/>
  <c r="E21" i="15" a="1"/>
  <c r="E21" i="15" s="1"/>
  <c r="E10" i="12" s="1"/>
  <c r="E40" i="15" a="1"/>
  <c r="E40" i="15" s="1"/>
  <c r="F19" i="15" a="1"/>
  <c r="F19" i="15" s="1"/>
  <c r="E24" i="15" a="1"/>
  <c r="E24" i="15" s="1"/>
  <c r="F30" i="15" a="1"/>
  <c r="F30" i="15" s="1"/>
  <c r="E41" i="15" a="1"/>
  <c r="E41" i="15" s="1"/>
  <c r="E47" i="15" a="1"/>
  <c r="E47" i="15" s="1"/>
  <c r="F21" i="15" a="1"/>
  <c r="F21" i="15" s="1"/>
  <c r="F10" i="12" s="1"/>
  <c r="E19" i="15" a="1"/>
  <c r="E19" i="15" s="1"/>
  <c r="E28" i="15" a="1"/>
  <c r="E28" i="15" s="1"/>
  <c r="F8" i="70" a="1"/>
  <c r="F8" i="70" s="1"/>
  <c r="E12" i="15" a="1"/>
  <c r="E12" i="15" s="1"/>
  <c r="F14" i="15" a="1"/>
  <c r="F14" i="15" s="1"/>
  <c r="F17" i="70" s="1"/>
  <c r="E7" i="70" a="1"/>
  <c r="E7" i="70" s="1"/>
  <c r="F22" i="15" a="1"/>
  <c r="F22" i="15" s="1"/>
  <c r="F14" i="70" a="1"/>
  <c r="F14" i="70" s="1"/>
  <c r="F23" i="15" a="1"/>
  <c r="F23" i="15" s="1"/>
  <c r="F35" i="15" a="1"/>
  <c r="F35" i="15" s="1"/>
  <c r="E39" i="15"/>
  <c r="F32" i="15" a="1"/>
  <c r="F32" i="15" s="1"/>
  <c r="F6" i="12" a="1"/>
  <c r="F6" i="12" s="1"/>
  <c r="E14" i="70" a="1"/>
  <c r="E14" i="70" s="1"/>
  <c r="F10" i="15" a="1"/>
  <c r="F10" i="15" s="1"/>
  <c r="E23" i="15" a="1"/>
  <c r="E23" i="15" s="1"/>
  <c r="E8" i="70" a="1"/>
  <c r="E8" i="70" s="1"/>
  <c r="E14" i="15" a="1"/>
  <c r="E14" i="15" s="1"/>
  <c r="E17" i="70" s="1"/>
  <c r="F7" i="70" a="1"/>
  <c r="F7" i="70" s="1"/>
  <c r="F34" i="15" a="1"/>
  <c r="F34" i="15" s="1"/>
  <c r="E20" i="15" a="1"/>
  <c r="E20" i="15" s="1"/>
  <c r="H60" i="55" s="1"/>
  <c r="E10" i="15" a="1"/>
  <c r="E10" i="15" s="1"/>
  <c r="F10" i="70" a="1"/>
  <c r="F10" i="70" s="1"/>
  <c r="E22" i="15" a="1"/>
  <c r="E22" i="15" s="1"/>
  <c r="F15" i="15" a="1"/>
  <c r="F15" i="15" s="1"/>
  <c r="E17" i="15" a="1"/>
  <c r="E17" i="15" s="1"/>
  <c r="E30" i="15" a="1"/>
  <c r="E30" i="15" s="1"/>
  <c r="F12" i="15" a="1"/>
  <c r="F12" i="15" s="1"/>
  <c r="F7" i="12" a="1"/>
  <c r="F7" i="12" s="1"/>
  <c r="E32" i="15" a="1"/>
  <c r="E32" i="15" s="1"/>
  <c r="F17" i="15" a="1"/>
  <c r="F17" i="15" s="1"/>
  <c r="E9" i="70" a="1"/>
  <c r="E9" i="70" s="1"/>
  <c r="F24" i="15" a="1"/>
  <c r="F24" i="15" s="1"/>
  <c r="E15" i="15" a="1"/>
  <c r="E15" i="15" s="1"/>
  <c r="F25" i="15" a="1"/>
  <c r="F25" i="15" s="1"/>
  <c r="F20" i="15" a="1"/>
  <c r="F20" i="15" s="1"/>
  <c r="J60" i="55" s="1"/>
  <c r="E6" i="12" a="1"/>
  <c r="E6" i="12" s="1"/>
  <c r="E35" i="15" a="1"/>
  <c r="E35" i="15" s="1"/>
  <c r="E48" i="15" a="1"/>
  <c r="E48" i="15" s="1"/>
  <c r="F28" i="15" a="1"/>
  <c r="F28" i="15" s="1"/>
  <c r="E34" i="15" a="1"/>
  <c r="E34" i="15" s="1"/>
  <c r="C14" i="39"/>
  <c r="H45" i="47" l="1"/>
  <c r="H46" i="47" s="1"/>
  <c r="I46" i="15"/>
  <c r="I48" i="15"/>
  <c r="G22" i="15"/>
  <c r="H24" i="15"/>
  <c r="G9" i="70"/>
  <c r="F13" i="70" a="1"/>
  <c r="F13" i="70" s="1"/>
  <c r="F6" i="70" a="1"/>
  <c r="F6" i="70" s="1"/>
  <c r="F11" i="70" a="1"/>
  <c r="F11" i="70" s="1"/>
  <c r="E13" i="70" a="1"/>
  <c r="E13" i="70" s="1"/>
  <c r="E6" i="70" a="1"/>
  <c r="E6" i="70" s="1"/>
  <c r="E12" i="70" a="1"/>
  <c r="E12" i="70" s="1"/>
  <c r="E11" i="70" a="1"/>
  <c r="E11" i="70" s="1"/>
  <c r="F12" i="70" a="1"/>
  <c r="F12" i="70" s="1"/>
  <c r="H7" i="12"/>
  <c r="G8" i="70"/>
  <c r="G14" i="70"/>
  <c r="G19" i="15"/>
  <c r="H34" i="15"/>
  <c r="G7" i="70"/>
  <c r="E36" i="15"/>
  <c r="G35" i="15"/>
  <c r="G15" i="15"/>
  <c r="E16" i="15"/>
  <c r="G32" i="15"/>
  <c r="E33" i="15"/>
  <c r="H15" i="15"/>
  <c r="H16" i="15" s="1"/>
  <c r="F16" i="15"/>
  <c r="G14" i="15"/>
  <c r="F11" i="15"/>
  <c r="H10" i="15"/>
  <c r="H11" i="15" s="1"/>
  <c r="H6" i="12"/>
  <c r="F9" i="12"/>
  <c r="F11" i="12" s="1"/>
  <c r="I38" i="15"/>
  <c r="I39" i="15"/>
  <c r="H22" i="15"/>
  <c r="E13" i="15"/>
  <c r="G12" i="15"/>
  <c r="G13" i="15" s="1"/>
  <c r="G28" i="15"/>
  <c r="E29" i="15"/>
  <c r="F31" i="15"/>
  <c r="H30" i="15"/>
  <c r="H31" i="15" s="1"/>
  <c r="G24" i="15"/>
  <c r="H9" i="70"/>
  <c r="F41" i="15" a="1"/>
  <c r="F41" i="15" s="1"/>
  <c r="I41" i="15" s="1"/>
  <c r="H28" i="15"/>
  <c r="F29" i="15"/>
  <c r="G6" i="12"/>
  <c r="E9" i="12"/>
  <c r="E11" i="12" s="1"/>
  <c r="F13" i="15"/>
  <c r="H12" i="15"/>
  <c r="H13" i="15" s="1"/>
  <c r="F36" i="15"/>
  <c r="H35" i="15"/>
  <c r="H19" i="15"/>
  <c r="G25" i="15"/>
  <c r="G26" i="15" s="1"/>
  <c r="E26" i="15"/>
  <c r="E27" i="15" s="1"/>
  <c r="F42" i="15" a="1"/>
  <c r="F42" i="15" s="1"/>
  <c r="I42" i="15" s="1"/>
  <c r="F18" i="15"/>
  <c r="H17" i="15"/>
  <c r="E31" i="15"/>
  <c r="G30" i="15"/>
  <c r="G31" i="15" s="1"/>
  <c r="E11" i="15"/>
  <c r="G10" i="15"/>
  <c r="G11" i="15" s="1"/>
  <c r="H23" i="15"/>
  <c r="G21" i="15"/>
  <c r="F44" i="15" a="1"/>
  <c r="F44" i="15" s="1"/>
  <c r="I44" i="15" s="1"/>
  <c r="F47" i="15" a="1"/>
  <c r="F47" i="15" s="1"/>
  <c r="I47" i="15" s="1"/>
  <c r="F40" i="15" a="1"/>
  <c r="F40" i="15" s="1"/>
  <c r="I40" i="15" s="1"/>
  <c r="H20" i="15"/>
  <c r="G34" i="15"/>
  <c r="F26" i="15"/>
  <c r="F27" i="15" s="1"/>
  <c r="H25" i="15"/>
  <c r="H26" i="15" s="1"/>
  <c r="G17" i="15"/>
  <c r="E18" i="15"/>
  <c r="G20" i="15"/>
  <c r="L60" i="55" s="1"/>
  <c r="H7" i="70"/>
  <c r="G23" i="15"/>
  <c r="H32" i="15"/>
  <c r="F33" i="15"/>
  <c r="H14" i="70"/>
  <c r="H14" i="15"/>
  <c r="H8" i="70"/>
  <c r="H21" i="15"/>
  <c r="G7" i="12"/>
  <c r="E10" i="70" a="1"/>
  <c r="E10" i="70" s="1"/>
  <c r="G10" i="70" s="1"/>
  <c r="I46" i="47" l="1"/>
  <c r="I47" i="47" s="1"/>
  <c r="E49" i="15"/>
  <c r="F49" i="15"/>
  <c r="G6" i="70"/>
  <c r="G11" i="70"/>
  <c r="H33" i="15"/>
  <c r="G13" i="70"/>
  <c r="H12" i="70"/>
  <c r="H29" i="15"/>
  <c r="L59" i="55"/>
  <c r="K60" i="55" s="1"/>
  <c r="H11" i="70"/>
  <c r="H13" i="70"/>
  <c r="G12" i="70"/>
  <c r="H6" i="70"/>
  <c r="G18" i="15"/>
  <c r="G27" i="15"/>
  <c r="J59" i="55"/>
  <c r="I60" i="55" s="1"/>
  <c r="G9" i="12"/>
  <c r="F16" i="70"/>
  <c r="F18" i="70" s="1"/>
  <c r="E16" i="70"/>
  <c r="E18" i="70" s="1"/>
  <c r="H10" i="70"/>
  <c r="H18" i="15"/>
  <c r="H59" i="55"/>
  <c r="G60" i="55" s="1"/>
  <c r="H9" i="12"/>
  <c r="G16" i="15"/>
  <c r="H27" i="15"/>
  <c r="G33" i="15"/>
  <c r="G36" i="15"/>
  <c r="H36" i="15"/>
  <c r="G29" i="15"/>
  <c r="H47" i="47" l="1"/>
  <c r="H48" i="47" s="1"/>
  <c r="H49" i="15"/>
  <c r="G49" i="15"/>
  <c r="F51" i="15"/>
  <c r="G16" i="70"/>
  <c r="H16" i="70"/>
  <c r="I48" i="47" l="1"/>
  <c r="I49" i="47" s="1"/>
  <c r="H51" i="15"/>
  <c r="H49" i="47" l="1"/>
  <c r="H50" i="47" s="1"/>
  <c r="I50" i="47" l="1"/>
  <c r="I51" i="47" s="1"/>
  <c r="H51" i="47" l="1"/>
</calcChain>
</file>

<file path=xl/sharedStrings.xml><?xml version="1.0" encoding="utf-8"?>
<sst xmlns="http://schemas.openxmlformats.org/spreadsheetml/2006/main" count="2741" uniqueCount="633">
  <si>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</si>
  <si>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</si>
  <si>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</si>
  <si>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</si>
  <si>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</si>
  <si>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</si>
  <si>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</si>
  <si>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</si>
  <si>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</si>
  <si>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</si>
  <si>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</si>
  <si>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</si>
  <si>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</si>
  <si>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</si>
  <si>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</si>
  <si>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</si>
  <si>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</si>
  <si>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</si>
  <si>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</si>
  <si>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</si>
  <si>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</si>
  <si>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</si>
  <si>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</si>
  <si>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</si>
  <si>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</si>
  <si>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</si>
  <si>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</si>
  <si>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</si>
  <si>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</si>
  <si>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</si>
  <si>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</si>
  <si>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</si>
  <si>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</si>
  <si>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</si>
  <si>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</si>
  <si>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</si>
  <si>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</si>
  <si>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</si>
  <si>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</si>
  <si>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</si>
  <si>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</si>
  <si>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</si>
  <si>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</si>
  <si>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</si>
  <si>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</si>
  <si>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</si>
  <si>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</si>
  <si>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</si>
  <si>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</si>
  <si>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</si>
  <si>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</si>
  <si>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</si>
  <si>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</si>
  <si>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</si>
  <si>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</si>
  <si>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</si>
  <si>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</si>
  <si>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</si>
  <si>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</si>
  <si>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</si>
  <si>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</si>
  <si>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</si>
  <si>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</si>
  <si>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</si>
  <si>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</si>
  <si>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</si>
  <si>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</si>
  <si>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</si>
  <si>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</si>
  <si>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</si>
  <si>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</si>
  <si>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</si>
  <si>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</si>
  <si>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</si>
  <si>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</si>
  <si>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</si>
  <si>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</si>
  <si>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</si>
  <si>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</si>
  <si>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</si>
  <si>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</si>
  <si>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</si>
  <si>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</si>
  <si>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</si>
  <si>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</si>
  <si>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</si>
  <si>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</si>
  <si>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</si>
  <si>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</si>
  <si>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</si>
  <si>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</si>
  <si>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</si>
  <si>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</si>
  <si>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</si>
  <si>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</si>
  <si>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</si>
  <si>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</si>
  <si>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</si>
  <si>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</si>
  <si>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</si>
  <si>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</si>
  <si>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</si>
  <si>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</si>
  <si>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</si>
  <si>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</si>
  <si>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</si>
  <si>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</si>
  <si>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</si>
  <si>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</si>
  <si>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</si>
  <si>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</si>
  <si>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</si>
  <si>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</si>
  <si>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</si>
  <si>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</si>
  <si>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</si>
  <si>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</si>
  <si>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</si>
  <si>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</si>
  <si>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</si>
  <si>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</si>
  <si>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</si>
  <si>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</si>
  <si>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</si>
  <si>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</si>
  <si>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</si>
  <si>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</si>
  <si>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</si>
  <si>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</si>
  <si>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</si>
  <si>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</si>
  <si>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</si>
  <si>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</si>
  <si>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</si>
  <si>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</si>
  <si>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</si>
  <si>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</si>
  <si>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</si>
  <si>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</si>
  <si>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</si>
  <si>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</si>
  <si>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</si>
  <si>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</si>
  <si>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</si>
  <si>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</si>
  <si>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</si>
  <si>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</si>
  <si>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</si>
  <si>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</si>
  <si>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</si>
  <si>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</si>
  <si>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</si>
  <si>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</si>
  <si>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</si>
  <si>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</si>
  <si>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</si>
  <si>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</si>
  <si>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</si>
  <si>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</si>
  <si>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</t>
  </si>
  <si>
    <t>154</t>
  </si>
  <si>
    <t xml:space="preserve"> Chi phí sản xuất, kinh doanh dở dang </t>
  </si>
  <si>
    <t>632</t>
  </si>
  <si>
    <t xml:space="preserve"> Giá vốn hàng bán </t>
  </si>
  <si>
    <t>5112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</si>
  <si>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</si>
  <si>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</si>
  <si>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</si>
  <si>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</si>
  <si>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</si>
  <si>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</si>
  <si>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</si>
  <si>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</si>
  <si>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</si>
  <si>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</si>
  <si>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</si>
  <si>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</si>
  <si>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</si>
  <si>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</si>
  <si>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</si>
  <si>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</si>
  <si>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</si>
  <si>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</si>
  <si>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</si>
  <si>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</si>
  <si>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</si>
  <si>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</si>
  <si>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</si>
  <si>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</si>
  <si>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</si>
  <si>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</si>
  <si>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</si>
  <si>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</si>
  <si>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</si>
  <si>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</si>
  <si>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</si>
  <si>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</si>
  <si>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</si>
  <si>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</si>
  <si>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</si>
  <si>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</si>
  <si>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</si>
  <si>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</si>
  <si>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</si>
  <si>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</si>
  <si>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</si>
  <si>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</si>
  <si>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</si>
  <si>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</si>
  <si>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</si>
  <si>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</si>
  <si>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</si>
  <si>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</si>
  <si>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</si>
  <si>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</si>
  <si>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</si>
  <si>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</si>
  <si>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</si>
  <si>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</si>
  <si>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</si>
  <si>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</si>
  <si>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</si>
  <si>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</si>
  <si>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</si>
  <si>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</si>
  <si>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</si>
  <si>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</si>
  <si>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ĐM</t>
  </si>
  <si>
    <t>SL TP</t>
  </si>
  <si>
    <t>ĐG</t>
  </si>
  <si>
    <t>CP NVL C</t>
  </si>
  <si>
    <t>CP NVL P</t>
  </si>
  <si>
    <t>CP GC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</si>
  <si>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</si>
  <si>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</si>
  <si>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</si>
  <si>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</si>
  <si>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</si>
  <si>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</si>
  <si>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</si>
  <si>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</si>
  <si>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</si>
  <si>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</si>
  <si>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</si>
  <si>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</si>
  <si>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</si>
  <si>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</si>
  <si>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</si>
  <si>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</si>
  <si>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</si>
  <si>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</si>
  <si>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</si>
  <si>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</si>
  <si>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</si>
  <si>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</si>
  <si>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</si>
  <si>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</si>
  <si>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</si>
  <si>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</si>
  <si>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</si>
  <si>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</si>
  <si>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</si>
  <si>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</si>
  <si>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</si>
  <si>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</si>
  <si>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</si>
  <si>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</si>
  <si>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Trần Minh Nghĩa</t>
  </si>
  <si>
    <t xml:space="preserve"> Chi phí bán hàng</t>
  </si>
  <si>
    <t>THÁNG</t>
  </si>
  <si>
    <t>EIB CHỢ LỚN</t>
  </si>
  <si>
    <t>CTGS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</si>
  <si>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</si>
  <si>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</si>
  <si>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</si>
  <si>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</si>
  <si>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</si>
  <si>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</si>
  <si>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</si>
  <si>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</si>
  <si>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</si>
  <si>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</si>
  <si>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</si>
  <si>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</si>
  <si>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</si>
  <si>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</si>
  <si>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</si>
  <si>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</si>
  <si>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</si>
  <si>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Quý II</t>
  </si>
  <si>
    <t>tấm</t>
  </si>
  <si>
    <t>T01</t>
  </si>
  <si>
    <t>T02</t>
  </si>
  <si>
    <t>T03</t>
  </si>
  <si>
    <t>C21</t>
  </si>
  <si>
    <t>C24</t>
  </si>
  <si>
    <t>Thuế GTGT đầu ra</t>
  </si>
  <si>
    <t>3331</t>
  </si>
  <si>
    <t>CP trả trước ngắn hạn</t>
  </si>
  <si>
    <t>CP Mực in</t>
  </si>
  <si>
    <t>Nguyên vật liệu chính</t>
  </si>
  <si>
    <t>Nguyên vật liệu phụ</t>
  </si>
  <si>
    <t>Mực in</t>
  </si>
  <si>
    <t>Trả trước ngắn hạn</t>
  </si>
  <si>
    <t>CP Lương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</si>
  <si>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</si>
  <si>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</si>
  <si>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</si>
  <si>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</si>
  <si>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</si>
  <si>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</si>
  <si>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</si>
  <si>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</si>
  <si>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</si>
  <si>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</si>
  <si>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</si>
  <si>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</si>
  <si>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</si>
  <si>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</si>
  <si>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</si>
  <si>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</si>
  <si>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</si>
  <si>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</si>
  <si>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</si>
  <si>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</si>
  <si>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</si>
  <si>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</si>
  <si>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</si>
  <si>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Thu vốn góp Lê Thị Dung</t>
  </si>
  <si>
    <t>Thu vốn góp Phan Văn Hiền</t>
  </si>
  <si>
    <t>Thu vốn góp Nguyễn Thị Thu Sương</t>
  </si>
  <si>
    <t>cái</t>
  </si>
  <si>
    <t>Ghi Nợ tài khoản : 641</t>
  </si>
  <si>
    <t>- Tài khoản : 641</t>
  </si>
  <si>
    <t>- Ghi có TK : 641</t>
  </si>
  <si>
    <t>Quý III</t>
  </si>
  <si>
    <t>Quý IV</t>
  </si>
  <si>
    <t>K/C lãi  SXKD  - Quý III</t>
  </si>
  <si>
    <t>K/C lãi SXKD  - Quý IV</t>
  </si>
  <si>
    <t>K/C lỗ SXKD - Quý II</t>
  </si>
  <si>
    <t>K/C lãi ( lỗ ) SXKD</t>
  </si>
  <si>
    <t>K/C Thuế TNDN phải nộp</t>
  </si>
  <si>
    <t>TK</t>
  </si>
  <si>
    <t>- Sổ này có 16 Trang, đánh số từ trang 01 đến trang 16</t>
  </si>
  <si>
    <t>Ngày  31  tháng   12  năm   2011</t>
  </si>
  <si>
    <t>Năm: 2011</t>
  </si>
  <si>
    <t>SỔ KẾ TOÁN</t>
  </si>
  <si>
    <t>2. Sổ Nhật ký chung</t>
  </si>
  <si>
    <t>1. Bảng cân đối số phát sinh</t>
  </si>
  <si>
    <t>3. Sổ chi tiết các tài khoản</t>
  </si>
  <si>
    <t>BÁO CÁO TÀI CHÍNH</t>
  </si>
  <si>
    <t>8. Phải Thu, Phải Trả, Báo cáo xuất nhập tồn</t>
  </si>
  <si>
    <t>4. Bảng tính giá thành sản phẩm</t>
  </si>
  <si>
    <t>1. Tờ khai Quyết Toán Thuế TNDN</t>
  </si>
  <si>
    <t>2. Tờ Khai Quyết Toán Thuế TNCN</t>
  </si>
  <si>
    <t>3. Bảng Cân Đối Kế Toán</t>
  </si>
  <si>
    <t>4. Báo Cáo Kết Qủa Hoạt Động Sản Xuất Kinh Doanh</t>
  </si>
  <si>
    <t>5. Lưu Chuyển Tiền Tệ</t>
  </si>
  <si>
    <t>6. Bảng Cân Đối Tài Khoản</t>
  </si>
  <si>
    <t>7. Bảng Thuyết Minh Báo Cáo Tài Chính</t>
  </si>
  <si>
    <t>Địa chỉ: Thửa đất số 144, tờ bản đồ số 12TĐH.1, tổ 1, khu phố Đông Tác, Phường Tân Đông Hiệp, Thị Xã Dĩ An, Tỉnh Bình Dương, Việt Nam</t>
  </si>
  <si>
    <t>Đơn vị: CÔNG TY TNHH MỘT THÀNH VIÊN KHỞI NGUYÊN AN</t>
  </si>
  <si>
    <t>0000391</t>
  </si>
  <si>
    <t>Chi phí tiếp khách</t>
  </si>
  <si>
    <t>VAT Chi phí tiếp khách</t>
  </si>
  <si>
    <t>Vật dụng phòng khách</t>
  </si>
  <si>
    <t>VAT Vật dụng phòng khách</t>
  </si>
  <si>
    <t>5111</t>
  </si>
  <si>
    <t xml:space="preserve"> Doanh Thu cung cấp dịch vụ</t>
  </si>
  <si>
    <t xml:space="preserve"> Doanh thu bán hàng</t>
  </si>
  <si>
    <t>Cty CP Đầu Tư Xây Dựng Địa Ốc FDC</t>
  </si>
  <si>
    <t>K/C  Doanh Thu cung cấp dịch vụ</t>
  </si>
  <si>
    <t>K/C  Doanh thu bán hàng</t>
  </si>
  <si>
    <t>VAT Giấy tấm</t>
  </si>
  <si>
    <t>VCB</t>
  </si>
  <si>
    <t>156</t>
  </si>
  <si>
    <t>Hàng hóa</t>
  </si>
  <si>
    <t>NĂM 2012</t>
  </si>
  <si>
    <t>Tập Đoàn Viễn Thông Quân Đội</t>
  </si>
  <si>
    <t>Thanh toán tiền viễn thông</t>
  </si>
  <si>
    <t>VAT Thanh toán tiền viễn thông</t>
  </si>
  <si>
    <t>Thanh toán tiền điện</t>
  </si>
  <si>
    <t>VAT Thanh toán tiền điện</t>
  </si>
  <si>
    <t>Cty Điện Lực Bình Dương</t>
  </si>
  <si>
    <t>3295876, 875</t>
  </si>
  <si>
    <t>0241188, 0187404</t>
  </si>
  <si>
    <t>Cty TNHH Thiết Kế In Ấn Minh Hùng</t>
  </si>
  <si>
    <t>Tiền đặt in hóa đơn</t>
  </si>
  <si>
    <t>VAT Tiền đặt in hóa đơn</t>
  </si>
  <si>
    <t>0000231</t>
  </si>
  <si>
    <t>Cty TNHH SX TM Và Dịch Vụ Phúc Vinh</t>
  </si>
  <si>
    <t>0000762</t>
  </si>
  <si>
    <t xml:space="preserve">VAT Giấy tấm </t>
  </si>
  <si>
    <t>Giấy tấm 1N +2X (110x162)</t>
  </si>
  <si>
    <t>Giấy tấm 1N +2X (110x159)</t>
  </si>
  <si>
    <t>Giấy tấm 1N +2X (105x159)</t>
  </si>
  <si>
    <t>Giấy tấm 1N +2X (115x163)</t>
  </si>
  <si>
    <t>0000763</t>
  </si>
  <si>
    <t>0000767</t>
  </si>
  <si>
    <t>Giấy tấm 1N +2X (110x151)</t>
  </si>
  <si>
    <t>Giấy tấm 1N +2X (145x144)</t>
  </si>
  <si>
    <t>0000781</t>
  </si>
  <si>
    <t>Cty TNHH Tân Kim Thành</t>
  </si>
  <si>
    <t>0000424</t>
  </si>
  <si>
    <t>Dây mạ kẽm</t>
  </si>
  <si>
    <t>VAT Dây mạ kẽm</t>
  </si>
  <si>
    <t>0000786</t>
  </si>
  <si>
    <t>Giấy tấm 1N +2X (165x158)</t>
  </si>
  <si>
    <t>Thuế GTGT hàng sản xuất</t>
  </si>
  <si>
    <t>Thuế môn bài</t>
  </si>
  <si>
    <t>6392345</t>
  </si>
  <si>
    <t>Chi Cục Thuế Thị Xã Dĩ An</t>
  </si>
  <si>
    <t xml:space="preserve">Thuế môn bài phải nộp </t>
  </si>
  <si>
    <t>Cty TNHH SX TM Bao Bì Giấy Nam Long</t>
  </si>
  <si>
    <t>0005938</t>
  </si>
  <si>
    <t>Giấy tấm (144x145)</t>
  </si>
  <si>
    <t>Cty TNHH TM DV Ba Mắt</t>
  </si>
  <si>
    <t>Phần mềm diệt virut</t>
  </si>
  <si>
    <t>0000210</t>
  </si>
  <si>
    <t>0085995</t>
  </si>
  <si>
    <t>Cơ Sở Phi Long</t>
  </si>
  <si>
    <t>0000831</t>
  </si>
  <si>
    <t>Giấy tấm 1N +2X (105x158)</t>
  </si>
  <si>
    <t>Giấy tấm 1N +2X (120x175)</t>
  </si>
  <si>
    <t>0000832</t>
  </si>
  <si>
    <t>Giấy tấm 2N +1X (87x208)</t>
  </si>
  <si>
    <t>Giấy tấm 2N +1X (110x173)</t>
  </si>
  <si>
    <t>0000817</t>
  </si>
  <si>
    <t>0000819</t>
  </si>
  <si>
    <t>Giấy tấm 1N +2X (150x92)</t>
  </si>
  <si>
    <t>4589476; 459477</t>
  </si>
  <si>
    <t>Cty CP Gạch Ngói Nhị Hiệp</t>
  </si>
  <si>
    <t>Vật liệu xây dựng</t>
  </si>
  <si>
    <t>VAT Vật liệu xây dựng</t>
  </si>
  <si>
    <t>0009069</t>
  </si>
  <si>
    <t>Thu vốn góp</t>
  </si>
  <si>
    <t>Cty TNHH MTV Hòa Phương Linh</t>
  </si>
  <si>
    <t>Cước vận chuyển</t>
  </si>
  <si>
    <t>VAT Cước vận chuyển</t>
  </si>
  <si>
    <t>0000007</t>
  </si>
  <si>
    <t>0021813</t>
  </si>
  <si>
    <t>Khung gỗ, mực in</t>
  </si>
  <si>
    <t>0339169; 0340699</t>
  </si>
  <si>
    <t>Cty TNHH MTV Ba Mươi Tháng Tư</t>
  </si>
  <si>
    <t>0003987</t>
  </si>
  <si>
    <t>6362440; 5362438</t>
  </si>
  <si>
    <t>0000866</t>
  </si>
  <si>
    <t>0000867</t>
  </si>
  <si>
    <t>0000884</t>
  </si>
  <si>
    <t>Giấy tấm 1N +2X (105x162)</t>
  </si>
  <si>
    <t>0000887</t>
  </si>
  <si>
    <t>Giấy tấm 1N +2X (115x164)</t>
  </si>
  <si>
    <t>Giấy tấm 2N +3X (105x200)</t>
  </si>
  <si>
    <t>0000888</t>
  </si>
  <si>
    <t>Giấy tấm 1N +2X (110x150)</t>
  </si>
  <si>
    <t>Giấy tấm 2N +1X (105x159)</t>
  </si>
  <si>
    <t>0000597</t>
  </si>
  <si>
    <t>0399916; 0385624</t>
  </si>
  <si>
    <t>6372781; 6372782</t>
  </si>
  <si>
    <t>CN Cty CP Đại Việt Trí Tuệ</t>
  </si>
  <si>
    <t>0010895</t>
  </si>
  <si>
    <t>0010885</t>
  </si>
  <si>
    <t>0010852</t>
  </si>
  <si>
    <t>Cty TNHH DV Vận Tải TM Cơ Khí Chế Tạo Máy Hải Linh</t>
  </si>
  <si>
    <t>0000956</t>
  </si>
  <si>
    <t>Giấy tấm 1N +2X (120x155)</t>
  </si>
  <si>
    <t>Giấy tấm 2N +1X (87.5x208)</t>
  </si>
  <si>
    <t>Giấy tấm 1N +2X (100x156)</t>
  </si>
  <si>
    <t>0000925</t>
  </si>
  <si>
    <t>0021832</t>
  </si>
  <si>
    <t>0061154</t>
  </si>
  <si>
    <t>Nhà Sách Hoàng Phúc</t>
  </si>
  <si>
    <t>Văn phòng phẩm</t>
  </si>
  <si>
    <t>GBC</t>
  </si>
  <si>
    <t>Nộp tiền mặt vào tài khoản</t>
  </si>
  <si>
    <t>Thu phí quản lý tài khoản</t>
  </si>
  <si>
    <t>Thu tiền hàng</t>
  </si>
  <si>
    <t>Cty TNHH Phan Hoàng Phát</t>
  </si>
  <si>
    <t>Rút sec nhập quỹ tiền mặt</t>
  </si>
  <si>
    <t>Phí cấp sec</t>
  </si>
  <si>
    <t>Lãi tiền gửi</t>
  </si>
  <si>
    <t>Cty TNHH Nhựa Hưng Phú</t>
  </si>
  <si>
    <t>Cty TNHH TM Lê Gia Phát</t>
  </si>
  <si>
    <t>Nguyễn Thị Thanh Thủy</t>
  </si>
  <si>
    <t>Cty TNHH SX TM Nhật Quang Phát</t>
  </si>
  <si>
    <t>GBN</t>
  </si>
  <si>
    <t>Thanh toán tiền hàng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</si>
  <si>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</si>
  <si>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</si>
  <si>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</si>
  <si>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</si>
  <si>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</si>
  <si>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</si>
  <si>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</si>
  <si>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</si>
  <si>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</si>
  <si>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</si>
  <si>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</si>
  <si>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N01</t>
  </si>
  <si>
    <t>NTP</t>
  </si>
  <si>
    <t>N02</t>
  </si>
  <si>
    <t>N03</t>
  </si>
  <si>
    <t>N04</t>
  </si>
  <si>
    <t>N05</t>
  </si>
  <si>
    <t>N06</t>
  </si>
  <si>
    <t>N07</t>
  </si>
  <si>
    <t>C12</t>
  </si>
  <si>
    <t>C13</t>
  </si>
  <si>
    <t>C14</t>
  </si>
  <si>
    <t>C15</t>
  </si>
  <si>
    <t>N08</t>
  </si>
  <si>
    <t>C16</t>
  </si>
  <si>
    <t>C17</t>
  </si>
  <si>
    <t>N09</t>
  </si>
  <si>
    <t>C18</t>
  </si>
  <si>
    <t>N10</t>
  </si>
  <si>
    <t>C19</t>
  </si>
  <si>
    <t>C20</t>
  </si>
  <si>
    <t>C22</t>
  </si>
  <si>
    <t>N11</t>
  </si>
  <si>
    <t>C23</t>
  </si>
  <si>
    <t>T04</t>
  </si>
  <si>
    <t>N12</t>
  </si>
  <si>
    <t>C25</t>
  </si>
  <si>
    <t>C26</t>
  </si>
  <si>
    <t>C27</t>
  </si>
  <si>
    <t>C28</t>
  </si>
  <si>
    <t>T05</t>
  </si>
  <si>
    <t>C29</t>
  </si>
  <si>
    <t>C30</t>
  </si>
  <si>
    <t>N13</t>
  </si>
  <si>
    <t>C31</t>
  </si>
  <si>
    <t>C32</t>
  </si>
  <si>
    <t>C33</t>
  </si>
  <si>
    <t>Thùng carton (52x27x27)</t>
  </si>
  <si>
    <t>0000001</t>
  </si>
  <si>
    <t>Cty TNHH SX Vạn Phú</t>
  </si>
  <si>
    <t>Tấm lót</t>
  </si>
  <si>
    <t>VAT Thùng</t>
  </si>
  <si>
    <t>Thùng carton (51,5x26x26)</t>
  </si>
  <si>
    <t>0000003</t>
  </si>
  <si>
    <t>Thùng carton (51,5x22x32)</t>
  </si>
  <si>
    <t>0000004</t>
  </si>
  <si>
    <t>Thùng carton (51,5x22,5x22,5)</t>
  </si>
  <si>
    <t>Thùng carton (51,5x28x28)</t>
  </si>
  <si>
    <t>Thùng carton (22x22x51,5)</t>
  </si>
  <si>
    <t>0000005</t>
  </si>
  <si>
    <t>Thùng carton (51,5x25,5x25,5)</t>
  </si>
  <si>
    <t>0000006</t>
  </si>
  <si>
    <t>Thùng carton (51,5x24,5x24,5)</t>
  </si>
  <si>
    <t>Thùng carton (52x32,5x21)</t>
  </si>
  <si>
    <t>0000008</t>
  </si>
  <si>
    <t>Cty TNHH Chánh Kiết</t>
  </si>
  <si>
    <t>0000009</t>
  </si>
  <si>
    <t>0000010</t>
  </si>
  <si>
    <t>Thùng carton (51x51x31,5)</t>
  </si>
  <si>
    <t>0000011</t>
  </si>
  <si>
    <t>Thùng carton (51,5x34x24)</t>
  </si>
  <si>
    <t>0000012</t>
  </si>
  <si>
    <t>Thùng carton (52x24,5x24,5)</t>
  </si>
  <si>
    <t>0000013</t>
  </si>
  <si>
    <t>0000014</t>
  </si>
  <si>
    <t>Thùng carton (73x33x31)</t>
  </si>
  <si>
    <t>0000015</t>
  </si>
  <si>
    <t>Cty TNHH MTV SX TM Tôn Hiệp Hưng</t>
  </si>
  <si>
    <t>0000016</t>
  </si>
  <si>
    <t>0000017</t>
  </si>
  <si>
    <t>0000018</t>
  </si>
  <si>
    <t>0000019</t>
  </si>
  <si>
    <t>Thùng carton (22x22x52)</t>
  </si>
  <si>
    <t>0000020</t>
  </si>
  <si>
    <t>Cty TNHH MTV SX TM Tân Thịnh Phát</t>
  </si>
  <si>
    <t>Thùng carton (52x21x31,5)</t>
  </si>
  <si>
    <t>Thùng carton (54x25x25)</t>
  </si>
  <si>
    <t>Thùng carton (52x28x28)</t>
  </si>
  <si>
    <t>Thùng carton (52,5x25x25)</t>
  </si>
  <si>
    <t>0000021</t>
  </si>
  <si>
    <t>0000022</t>
  </si>
  <si>
    <t>0000023</t>
  </si>
  <si>
    <t>Thùng carton (48x48x55)</t>
  </si>
  <si>
    <t>0000024</t>
  </si>
  <si>
    <t>Thùng carton (36,5x36,5x63)</t>
  </si>
  <si>
    <t>Thùng carton (47,5x47,5x55)</t>
  </si>
  <si>
    <t>Thùng carton (58,5x58,5x30)</t>
  </si>
  <si>
    <t>Thùng carton (43,5x43,5x75)</t>
  </si>
  <si>
    <t>0000025</t>
  </si>
  <si>
    <t xml:space="preserve">Thùng carton </t>
  </si>
  <si>
    <t>0000026</t>
  </si>
  <si>
    <t>Cty TNHH TM DV SX Thiên Xứng</t>
  </si>
  <si>
    <t>0000918</t>
  </si>
  <si>
    <t>Thuế GTGT phải nộp</t>
  </si>
  <si>
    <t>BẢNG TÍNH GIÁ THÀNH SP 2012</t>
  </si>
  <si>
    <t>XSX</t>
  </si>
  <si>
    <t>X01</t>
  </si>
  <si>
    <t>XTP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</si>
  <si>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</si>
  <si>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</si>
  <si>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</si>
  <si>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</si>
  <si>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</si>
  <si>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</si>
  <si>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</si>
  <si>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</si>
  <si>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</si>
  <si>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</si>
  <si>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</si>
  <si>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</si>
  <si>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</si>
  <si>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</si>
  <si>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</si>
  <si>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</si>
  <si>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</si>
  <si>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</si>
  <si>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</si>
  <si>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</si>
  <si>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</si>
  <si>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</si>
  <si>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</si>
  <si>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</si>
  <si>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</si>
  <si>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</si>
  <si>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</si>
  <si>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</si>
  <si>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</si>
  <si>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</si>
  <si>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</si>
  <si>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</si>
  <si>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Xuất sản xuất</t>
  </si>
  <si>
    <t>Nhập thành phẩm</t>
  </si>
  <si>
    <t>TP</t>
  </si>
  <si>
    <t>Xuất bán</t>
  </si>
  <si>
    <t>XB/GV</t>
  </si>
  <si>
    <t>VAT Phí cấp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</si>
</sst>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8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77" fillId="0" borderId="0"/>
  </cellStyleXfs>
  <cellXfs count="912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3" fillId="0" borderId="16" xfId="76" applyNumberFormat="1" applyFont="1" applyFill="1" applyBorder="1" applyAlignment="1">
      <alignment horizontal="center" vertical="center"/>
    </xf>
    <xf numFmtId="164" fontId="43" fillId="0" borderId="16" xfId="76" applyNumberFormat="1" applyFont="1" applyFill="1" applyBorder="1" applyAlignment="1">
      <alignment horizontal="left" vertical="center"/>
    </xf>
    <xf numFmtId="49" fontId="43" fillId="0" borderId="16" xfId="76" applyNumberFormat="1" applyFont="1" applyFill="1" applyBorder="1" applyAlignment="1">
      <alignment horizontal="left" vertical="center"/>
    </xf>
    <xf numFmtId="164" fontId="43" fillId="0" borderId="16" xfId="77" applyNumberFormat="1" applyFont="1" applyFill="1" applyBorder="1" applyAlignment="1">
      <alignment vertical="center"/>
    </xf>
    <xf numFmtId="0" fontId="43" fillId="0" borderId="16" xfId="76" quotePrefix="1" applyNumberFormat="1" applyFont="1" applyFill="1" applyBorder="1" applyAlignment="1">
      <alignment horizontal="center" vertical="center"/>
    </xf>
    <xf numFmtId="1" fontId="43" fillId="0" borderId="16" xfId="76" quotePrefix="1" applyNumberFormat="1" applyFont="1" applyFill="1" applyBorder="1" applyAlignment="1">
      <alignment horizontal="center" vertical="center"/>
    </xf>
    <xf numFmtId="49" fontId="43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1" fillId="0" borderId="0" xfId="77" applyNumberFormat="1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0" fontId="53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Font="1" applyFill="1" applyBorder="1" applyAlignment="1" applyProtection="1">
      <alignment horizontal="justify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171" fontId="5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4" fillId="0" borderId="0" xfId="74" applyNumberFormat="1" applyFont="1" applyFill="1" applyBorder="1" applyAlignment="1" applyProtection="1">
      <alignment vertical="center"/>
      <protection hidden="1"/>
    </xf>
    <xf numFmtId="10" fontId="54" fillId="0" borderId="0" xfId="79" applyNumberFormat="1" applyFont="1" applyFill="1" applyBorder="1" applyAlignment="1" applyProtection="1">
      <alignment vertical="center"/>
      <protection hidden="1"/>
    </xf>
    <xf numFmtId="49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horizontal="left" vertical="center"/>
      <protection hidden="1"/>
    </xf>
    <xf numFmtId="10" fontId="54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1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vertical="center"/>
      <protection locked="0" hidden="1"/>
    </xf>
    <xf numFmtId="172" fontId="55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8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4" fillId="29" borderId="2" xfId="87" applyNumberFormat="1" applyFont="1" applyFill="1" applyBorder="1" applyAlignment="1">
      <alignment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2" fillId="29" borderId="2" xfId="87" applyNumberFormat="1" applyFont="1" applyFill="1" applyBorder="1" applyAlignment="1">
      <alignment vertical="center" wrapText="1"/>
    </xf>
    <xf numFmtId="0" fontId="62" fillId="29" borderId="2" xfId="87" applyFont="1" applyFill="1" applyBorder="1" applyAlignment="1">
      <alignment horizontal="center" vertical="center" wrapText="1"/>
    </xf>
    <xf numFmtId="0" fontId="62" fillId="29" borderId="2" xfId="87" applyFont="1" applyFill="1" applyBorder="1" applyAlignment="1">
      <alignment vertical="center" wrapText="1"/>
    </xf>
    <xf numFmtId="164" fontId="64" fillId="29" borderId="2" xfId="87" applyNumberFormat="1" applyFont="1" applyFill="1" applyBorder="1" applyAlignment="1">
      <alignment vertical="center" wrapText="1"/>
    </xf>
    <xf numFmtId="0" fontId="62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4" fillId="29" borderId="0" xfId="87" applyFont="1" applyFill="1" applyAlignment="1">
      <alignment vertical="center" wrapText="1"/>
    </xf>
    <xf numFmtId="0" fontId="64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 wrapText="1"/>
    </xf>
    <xf numFmtId="0" fontId="64" fillId="29" borderId="0" xfId="87" applyFont="1" applyFill="1" applyAlignment="1">
      <alignment horizontal="center" vertical="center"/>
    </xf>
    <xf numFmtId="164" fontId="64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2" fillId="29" borderId="0" xfId="87" applyFont="1" applyFill="1" applyAlignment="1">
      <alignment horizontal="center" vertical="center"/>
    </xf>
    <xf numFmtId="164" fontId="62" fillId="29" borderId="0" xfId="74" applyNumberFormat="1" applyFont="1" applyFill="1" applyAlignment="1">
      <alignment horizontal="center" vertical="center"/>
    </xf>
    <xf numFmtId="0" fontId="62" fillId="29" borderId="0" xfId="87" applyFont="1" applyFill="1" applyAlignment="1">
      <alignment vertical="center" wrapText="1"/>
    </xf>
    <xf numFmtId="0" fontId="66" fillId="0" borderId="0" xfId="87" applyFont="1" applyAlignment="1">
      <alignment vertical="center"/>
    </xf>
    <xf numFmtId="14" fontId="66" fillId="0" borderId="0" xfId="87" applyNumberFormat="1" applyFont="1" applyAlignment="1">
      <alignment vertical="center"/>
    </xf>
    <xf numFmtId="0" fontId="66" fillId="0" borderId="0" xfId="87" applyFont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164" fontId="67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2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0" fillId="0" borderId="0" xfId="0" applyFont="1" applyAlignment="1">
      <alignment horizontal="center"/>
    </xf>
    <xf numFmtId="164" fontId="70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0" xfId="77" applyFont="1"/>
    <xf numFmtId="0" fontId="71" fillId="0" borderId="0" xfId="77" applyFont="1" applyAlignment="1">
      <alignment horizontal="center" vertical="center"/>
    </xf>
    <xf numFmtId="0" fontId="73" fillId="0" borderId="0" xfId="77" applyFont="1" applyAlignment="1">
      <alignment horizontal="center" vertical="center"/>
    </xf>
    <xf numFmtId="0" fontId="38" fillId="0" borderId="0" xfId="77" applyFont="1"/>
    <xf numFmtId="0" fontId="34" fillId="0" borderId="35" xfId="87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/>
    </xf>
    <xf numFmtId="164" fontId="43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0" fontId="33" fillId="0" borderId="0" xfId="87" applyFont="1" applyAlignment="1">
      <alignment horizontal="right" vertical="center"/>
    </xf>
    <xf numFmtId="0" fontId="74" fillId="0" borderId="0" xfId="87" applyFont="1" applyAlignment="1">
      <alignment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5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59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59" fillId="29" borderId="0" xfId="95" applyFont="1" applyFill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4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8" fillId="0" borderId="0" xfId="80" applyFont="1" applyAlignment="1" applyProtection="1">
      <alignment horizontal="left" vertical="center"/>
      <protection hidden="1"/>
    </xf>
    <xf numFmtId="0" fontId="68" fillId="0" borderId="0" xfId="80" applyFont="1" applyAlignment="1" applyProtection="1">
      <alignment horizontal="center" vertical="center"/>
      <protection hidden="1"/>
    </xf>
    <xf numFmtId="0" fontId="47" fillId="0" borderId="0" xfId="97" applyFont="1"/>
    <xf numFmtId="0" fontId="33" fillId="0" borderId="0" xfId="97" applyFont="1"/>
    <xf numFmtId="0" fontId="33" fillId="0" borderId="0" xfId="97" applyFont="1" applyFill="1" applyBorder="1"/>
    <xf numFmtId="0" fontId="59" fillId="29" borderId="0" xfId="95" applyFont="1" applyFill="1" applyAlignment="1">
      <alignment vertical="top"/>
    </xf>
    <xf numFmtId="0" fontId="59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59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7" fillId="0" borderId="22" xfId="97" applyFont="1" applyBorder="1" applyAlignment="1"/>
    <xf numFmtId="0" fontId="47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1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6" fillId="0" borderId="0" xfId="29" applyFont="1" applyAlignment="1">
      <alignment vertical="center"/>
    </xf>
    <xf numFmtId="0" fontId="34" fillId="0" borderId="0" xfId="98" applyFont="1"/>
    <xf numFmtId="164" fontId="34" fillId="0" borderId="0" xfId="29" applyNumberFormat="1" applyFont="1"/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0" fontId="39" fillId="0" borderId="2" xfId="98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0" fontId="34" fillId="0" borderId="16" xfId="93" applyFont="1" applyBorder="1" applyAlignment="1">
      <alignment vertical="center"/>
    </xf>
    <xf numFmtId="164" fontId="39" fillId="0" borderId="2" xfId="29" applyNumberFormat="1" applyFont="1" applyBorder="1"/>
    <xf numFmtId="164" fontId="39" fillId="0" borderId="0" xfId="29" applyNumberFormat="1" applyFont="1" applyBorder="1"/>
    <xf numFmtId="0" fontId="34" fillId="0" borderId="0" xfId="93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4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4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2" fillId="29" borderId="2" xfId="29" applyFont="1" applyFill="1" applyBorder="1" applyAlignment="1">
      <alignment vertical="center" wrapText="1"/>
    </xf>
    <xf numFmtId="164" fontId="64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3" fillId="0" borderId="16" xfId="29" applyNumberFormat="1" applyFont="1" applyBorder="1" applyAlignment="1">
      <alignment vertical="center"/>
    </xf>
    <xf numFmtId="164" fontId="43" fillId="0" borderId="21" xfId="29" applyNumberFormat="1" applyFont="1" applyBorder="1" applyAlignment="1">
      <alignment horizontal="center" vertical="center"/>
    </xf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164" fontId="39" fillId="0" borderId="2" xfId="29" applyNumberFormat="1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8" fillId="0" borderId="0" xfId="93" applyFont="1" applyAlignment="1">
      <alignment horizontal="center"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76" fillId="0" borderId="0" xfId="29" applyNumberFormat="1" applyFont="1" applyAlignment="1">
      <alignment vertical="center"/>
    </xf>
    <xf numFmtId="41" fontId="76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1" fillId="0" borderId="0" xfId="93" applyFont="1" applyAlignment="1">
      <alignment horizontal="center" vertical="center"/>
    </xf>
    <xf numFmtId="164" fontId="51" fillId="0" borderId="0" xfId="94" applyNumberFormat="1" applyFont="1" applyAlignment="1">
      <alignment horizontal="center" vertical="center"/>
    </xf>
    <xf numFmtId="164" fontId="51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1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2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67" fillId="0" borderId="50" xfId="77" applyNumberFormat="1" applyFont="1" applyBorder="1" applyAlignment="1" applyProtection="1">
      <alignment vertical="center"/>
      <protection hidden="1"/>
    </xf>
    <xf numFmtId="164" fontId="67" fillId="0" borderId="51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0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67" fillId="0" borderId="0" xfId="85" applyFont="1" applyAlignment="1">
      <alignment vertical="center"/>
    </xf>
    <xf numFmtId="0" fontId="66" fillId="0" borderId="0" xfId="85" applyFont="1" applyAlignment="1">
      <alignment vertical="center"/>
    </xf>
    <xf numFmtId="0" fontId="66" fillId="0" borderId="0" xfId="85" applyFont="1" applyAlignment="1">
      <alignment horizontal="center" vertical="center"/>
    </xf>
    <xf numFmtId="0" fontId="79" fillId="0" borderId="0" xfId="85" applyFont="1" applyAlignment="1">
      <alignment vertical="center"/>
    </xf>
    <xf numFmtId="0" fontId="79" fillId="0" borderId="0" xfId="85" applyFont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0" xfId="85" applyFont="1" applyBorder="1" applyAlignment="1">
      <alignment horizontal="center" vertical="center"/>
    </xf>
    <xf numFmtId="0" fontId="66" fillId="0" borderId="0" xfId="85" applyFont="1" applyBorder="1" applyAlignment="1">
      <alignment vertical="center"/>
    </xf>
    <xf numFmtId="164" fontId="80" fillId="0" borderId="0" xfId="77" applyNumberFormat="1" applyFont="1" applyBorder="1" applyAlignment="1" applyProtection="1">
      <alignment vertical="center"/>
      <protection hidden="1"/>
    </xf>
    <xf numFmtId="164" fontId="81" fillId="0" borderId="0" xfId="77" applyNumberFormat="1" applyFont="1" applyAlignment="1">
      <alignment vertical="center"/>
    </xf>
    <xf numFmtId="164" fontId="82" fillId="0" borderId="0" xfId="77" applyNumberFormat="1" applyFont="1" applyAlignment="1">
      <alignment vertical="center"/>
    </xf>
    <xf numFmtId="164" fontId="74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8" fillId="0" borderId="23" xfId="74" quotePrefix="1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vertical="center"/>
    </xf>
    <xf numFmtId="164" fontId="68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7" fillId="0" borderId="0" xfId="74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83" fillId="0" borderId="0" xfId="77" applyFont="1" applyFill="1" applyBorder="1" applyAlignment="1" applyProtection="1">
      <alignment horizontal="left" vertical="center"/>
      <protection hidden="1"/>
    </xf>
    <xf numFmtId="0" fontId="84" fillId="0" borderId="0" xfId="80" applyFont="1" applyAlignment="1" applyProtection="1">
      <alignment vertical="center"/>
      <protection hidden="1"/>
    </xf>
    <xf numFmtId="0" fontId="83" fillId="0" borderId="0" xfId="80" applyFont="1" applyAlignment="1" applyProtection="1">
      <alignment horizontal="center" vertical="center"/>
      <protection hidden="1"/>
    </xf>
    <xf numFmtId="0" fontId="84" fillId="0" borderId="0" xfId="80" applyFont="1" applyFill="1" applyBorder="1" applyAlignment="1" applyProtection="1">
      <alignment vertical="center"/>
      <protection hidden="1"/>
    </xf>
    <xf numFmtId="164" fontId="85" fillId="0" borderId="0" xfId="77" applyNumberFormat="1" applyFont="1" applyBorder="1" applyAlignment="1" applyProtection="1">
      <alignment vertical="center"/>
      <protection hidden="1"/>
    </xf>
    <xf numFmtId="0" fontId="83" fillId="0" borderId="0" xfId="80" applyFont="1" applyAlignment="1" applyProtection="1">
      <alignment vertical="center"/>
      <protection hidden="1"/>
    </xf>
    <xf numFmtId="0" fontId="84" fillId="0" borderId="0" xfId="80" applyFont="1" applyBorder="1" applyAlignment="1" applyProtection="1">
      <alignment vertical="center"/>
      <protection hidden="1"/>
    </xf>
    <xf numFmtId="0" fontId="49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0" fontId="43" fillId="0" borderId="16" xfId="77" applyNumberFormat="1" applyFont="1" applyFill="1" applyBorder="1" applyAlignment="1">
      <alignment horizontal="center" vertical="center"/>
    </xf>
    <xf numFmtId="0" fontId="86" fillId="0" borderId="0" xfId="0" applyFont="1" applyFill="1" applyAlignment="1"/>
    <xf numFmtId="41" fontId="33" fillId="0" borderId="0" xfId="29" applyNumberFormat="1" applyFont="1" applyBorder="1" applyAlignment="1">
      <alignment horizontal="left" vertical="center"/>
    </xf>
    <xf numFmtId="41" fontId="36" fillId="29" borderId="0" xfId="95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7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41" fontId="33" fillId="29" borderId="0" xfId="95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0" fontId="33" fillId="0" borderId="16" xfId="93" applyFont="1" applyBorder="1" applyAlignment="1">
      <alignment horizontal="center"/>
    </xf>
    <xf numFmtId="0" fontId="33" fillId="0" borderId="39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9" fillId="0" borderId="0" xfId="54" applyNumberFormat="1" applyFont="1" applyAlignment="1">
      <alignment horizontal="center" vertical="center" wrapText="1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3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43" fontId="39" fillId="0" borderId="2" xfId="29" applyNumberFormat="1" applyFont="1" applyBorder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0" fontId="34" fillId="0" borderId="0" xfId="98" applyFont="1" applyAlignment="1">
      <alignment vertical="center"/>
    </xf>
    <xf numFmtId="0" fontId="39" fillId="0" borderId="0" xfId="98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8" applyFont="1" applyBorder="1" applyAlignment="1">
      <alignment vertical="center"/>
    </xf>
    <xf numFmtId="0" fontId="39" fillId="0" borderId="2" xfId="98" applyFont="1" applyBorder="1" applyAlignment="1">
      <alignment horizontal="center" vertical="center"/>
    </xf>
    <xf numFmtId="0" fontId="39" fillId="0" borderId="0" xfId="98" applyFont="1" applyBorder="1" applyAlignment="1">
      <alignment vertical="center"/>
    </xf>
    <xf numFmtId="0" fontId="39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left" vertical="center"/>
    </xf>
    <xf numFmtId="43" fontId="34" fillId="0" borderId="39" xfId="29" applyNumberFormat="1" applyFont="1" applyBorder="1" applyAlignment="1">
      <alignment horizontal="center" vertical="center"/>
    </xf>
    <xf numFmtId="0" fontId="78" fillId="0" borderId="0" xfId="98" applyFont="1" applyAlignment="1">
      <alignment vertical="center"/>
    </xf>
    <xf numFmtId="164" fontId="34" fillId="0" borderId="24" xfId="29" applyNumberFormat="1" applyFont="1" applyBorder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164" fontId="34" fillId="0" borderId="20" xfId="29" applyNumberFormat="1" applyFont="1" applyBorder="1" applyAlignment="1">
      <alignment vertical="center"/>
    </xf>
    <xf numFmtId="0" fontId="34" fillId="0" borderId="16" xfId="97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164" fontId="33" fillId="0" borderId="16" xfId="29" applyNumberFormat="1" applyFont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horizontal="center" vertical="center" wrapText="1"/>
    </xf>
    <xf numFmtId="173" fontId="34" fillId="0" borderId="39" xfId="29" applyNumberFormat="1" applyFont="1" applyBorder="1" applyAlignment="1">
      <alignment horizontal="center" vertical="center"/>
    </xf>
    <xf numFmtId="173" fontId="34" fillId="0" borderId="2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horizontal="center" vertical="center"/>
    </xf>
    <xf numFmtId="49" fontId="3" fillId="0" borderId="0" xfId="0" applyNumberFormat="1" applyFont="1" applyFill="1" applyAlignment="1"/>
    <xf numFmtId="164" fontId="34" fillId="0" borderId="21" xfId="90" applyNumberFormat="1" applyFont="1" applyFill="1" applyBorder="1" applyAlignment="1">
      <alignment horizontal="left" vertical="center"/>
    </xf>
    <xf numFmtId="164" fontId="34" fillId="0" borderId="21" xfId="54" applyNumberFormat="1" applyFont="1" applyFill="1" applyBorder="1" applyAlignment="1">
      <alignment horizontal="left" vertical="center"/>
    </xf>
    <xf numFmtId="0" fontId="59" fillId="0" borderId="0" xfId="87" applyFont="1" applyFill="1" applyAlignment="1">
      <alignment horizontal="center" vertical="center"/>
    </xf>
    <xf numFmtId="0" fontId="60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82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41" fontId="39" fillId="29" borderId="0" xfId="95" applyNumberFormat="1" applyFont="1" applyFill="1" applyAlignment="1">
      <alignment vertical="center"/>
    </xf>
    <xf numFmtId="41" fontId="34" fillId="29" borderId="0" xfId="95" applyNumberFormat="1" applyFont="1" applyFill="1" applyAlignment="1">
      <alignment vertical="center"/>
    </xf>
    <xf numFmtId="0" fontId="34" fillId="0" borderId="0" xfId="97" applyFont="1" applyAlignment="1" applyProtection="1">
      <protection hidden="1"/>
    </xf>
    <xf numFmtId="0" fontId="34" fillId="0" borderId="0" xfId="97" applyFont="1" applyAlignment="1" applyProtection="1">
      <alignment horizontal="center"/>
      <protection hidden="1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41" fontId="67" fillId="29" borderId="0" xfId="95" applyNumberFormat="1" applyFont="1" applyFill="1" applyAlignment="1">
      <alignment vertical="center"/>
    </xf>
    <xf numFmtId="41" fontId="66" fillId="29" borderId="0" xfId="95" applyNumberFormat="1" applyFont="1" applyFill="1" applyAlignment="1">
      <alignment vertical="center"/>
    </xf>
    <xf numFmtId="0" fontId="34" fillId="0" borderId="0" xfId="77" applyFont="1" applyAlignment="1"/>
    <xf numFmtId="0" fontId="34" fillId="0" borderId="0" xfId="76" quotePrefix="1" applyNumberFormat="1" applyFont="1" applyFill="1" applyBorder="1" applyAlignment="1">
      <alignment horizontal="center" vertical="center"/>
    </xf>
    <xf numFmtId="0" fontId="43" fillId="0" borderId="16" xfId="0" applyFont="1" applyFill="1" applyBorder="1" applyAlignment="1">
      <alignment horizont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9" fillId="0" borderId="0" xfId="76" applyFont="1" applyFill="1" applyAlignment="1">
      <alignment horizontal="center" vertical="center"/>
    </xf>
    <xf numFmtId="164" fontId="43" fillId="0" borderId="16" xfId="76" applyNumberFormat="1" applyFont="1" applyFill="1" applyBorder="1" applyAlignment="1">
      <alignment horizontal="center" vertical="center"/>
    </xf>
    <xf numFmtId="164" fontId="34" fillId="0" borderId="16" xfId="90" quotePrefix="1" applyNumberFormat="1" applyFont="1" applyFill="1" applyBorder="1" applyAlignment="1">
      <alignment horizontal="center" vertical="center"/>
    </xf>
    <xf numFmtId="164" fontId="34" fillId="0" borderId="16" xfId="54" quotePrefix="1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164" fontId="34" fillId="25" borderId="0" xfId="29" applyNumberFormat="1" applyFont="1" applyFill="1"/>
    <xf numFmtId="0" fontId="34" fillId="0" borderId="21" xfId="97" applyFont="1" applyBorder="1" applyAlignment="1">
      <alignment horizontal="center" vertical="center"/>
    </xf>
    <xf numFmtId="14" fontId="34" fillId="0" borderId="39" xfId="29" applyNumberFormat="1" applyFont="1" applyBorder="1" applyAlignment="1">
      <alignment horizontal="center" vertical="center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17" xfId="76" applyFont="1" applyFill="1" applyBorder="1" applyAlignment="1">
      <alignment horizontal="center" vertical="center" wrapText="1"/>
    </xf>
    <xf numFmtId="0" fontId="34" fillId="0" borderId="18" xfId="76" applyFont="1" applyFill="1" applyBorder="1" applyAlignment="1">
      <alignment horizontal="center" vertical="center" wrapText="1"/>
    </xf>
    <xf numFmtId="0" fontId="34" fillId="0" borderId="24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4" xfId="76" applyNumberFormat="1" applyFont="1" applyFill="1" applyBorder="1" applyAlignment="1">
      <alignment horizontal="center" vertical="center" wrapText="1"/>
    </xf>
    <xf numFmtId="0" fontId="34" fillId="0" borderId="20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49" fontId="34" fillId="0" borderId="17" xfId="76" applyNumberFormat="1" applyFont="1" applyFill="1" applyBorder="1" applyAlignment="1">
      <alignment horizontal="center" vertical="center"/>
    </xf>
    <xf numFmtId="49" fontId="34" fillId="0" borderId="18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66" fillId="0" borderId="0" xfId="85" applyFont="1" applyAlignment="1">
      <alignment horizontal="center" vertical="center" wrapText="1"/>
    </xf>
    <xf numFmtId="0" fontId="67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74" fillId="0" borderId="0" xfId="77" applyNumberFormat="1" applyFont="1" applyAlignment="1">
      <alignment horizontal="center" vertical="center"/>
    </xf>
    <xf numFmtId="0" fontId="66" fillId="0" borderId="22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5" fillId="0" borderId="0" xfId="77" applyFont="1" applyFill="1" applyBorder="1" applyAlignment="1" applyProtection="1">
      <alignment horizontal="left" vertical="center" wrapText="1"/>
      <protection hidden="1"/>
    </xf>
    <xf numFmtId="0" fontId="34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1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62" fillId="29" borderId="36" xfId="87" applyFont="1" applyFill="1" applyBorder="1" applyAlignment="1">
      <alignment horizontal="center" vertical="center" wrapText="1"/>
    </xf>
    <xf numFmtId="0" fontId="62" fillId="29" borderId="45" xfId="87" applyFont="1" applyFill="1" applyBorder="1" applyAlignment="1">
      <alignment horizontal="center" vertical="center" wrapText="1"/>
    </xf>
    <xf numFmtId="14" fontId="62" fillId="29" borderId="17" xfId="87" applyNumberFormat="1" applyFont="1" applyFill="1" applyBorder="1" applyAlignment="1">
      <alignment horizontal="center" vertical="center" wrapText="1"/>
    </xf>
    <xf numFmtId="14" fontId="62" fillId="29" borderId="18" xfId="87" applyNumberFormat="1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46" xfId="87" applyFont="1" applyFill="1" applyBorder="1" applyAlignment="1">
      <alignment horizontal="center" vertical="center" wrapText="1"/>
    </xf>
    <xf numFmtId="0" fontId="34" fillId="0" borderId="0" xfId="97" applyFont="1" applyAlignment="1" applyProtection="1">
      <alignment horizontal="center"/>
      <protection hidden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3" fillId="0" borderId="0" xfId="93" applyFont="1" applyAlignment="1">
      <alignment horizontal="center" wrapText="1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33" fillId="0" borderId="2" xfId="93" applyFont="1" applyBorder="1" applyAlignment="1">
      <alignment horizontal="center" vertical="center"/>
    </xf>
    <xf numFmtId="0" fontId="33" fillId="0" borderId="2" xfId="93" applyFont="1" applyBorder="1" applyAlignment="1">
      <alignment horizontal="center" vertical="center" wrapText="1"/>
    </xf>
    <xf numFmtId="0" fontId="58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8" fillId="0" borderId="2" xfId="93" applyFont="1" applyBorder="1" applyAlignment="1">
      <alignment horizontal="center" vertical="center" wrapText="1" shrinkToFit="1"/>
    </xf>
    <xf numFmtId="0" fontId="38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73" fillId="0" borderId="22" xfId="0" applyFont="1" applyBorder="1" applyAlignment="1">
      <alignment horizontal="center" vertical="center"/>
    </xf>
    <xf numFmtId="0" fontId="84" fillId="0" borderId="0" xfId="77" applyFont="1" applyFill="1" applyBorder="1" applyAlignment="1" applyProtection="1">
      <alignment horizontal="left" vertical="center" wrapText="1"/>
      <protection hidden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51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76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76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72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NK-SC%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152%20-%20155%20-%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NK-SC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CTTK"/>
      <sheetName val="SO - TS"/>
      <sheetName val="THE-TS"/>
      <sheetName val="411"/>
      <sheetName val="Sheet2"/>
    </sheetNames>
    <sheetDataSet>
      <sheetData sheetId="0">
        <row r="10">
          <cell r="A10" t="str">
            <v>1111</v>
          </cell>
        </row>
      </sheetData>
      <sheetData sheetId="1">
        <row r="11">
          <cell r="J11" t="str">
            <v/>
          </cell>
        </row>
        <row r="12">
          <cell r="J12" t="str">
            <v/>
          </cell>
        </row>
        <row r="13">
          <cell r="J13" t="str">
            <v/>
          </cell>
        </row>
        <row r="14">
          <cell r="J14" t="str">
            <v/>
          </cell>
        </row>
        <row r="15">
          <cell r="J15" t="str">
            <v/>
          </cell>
        </row>
        <row r="16">
          <cell r="J16" t="str">
            <v/>
          </cell>
        </row>
        <row r="17">
          <cell r="J17" t="str">
            <v/>
          </cell>
        </row>
        <row r="18">
          <cell r="J18" t="str">
            <v/>
          </cell>
        </row>
        <row r="19">
          <cell r="J19" t="str">
            <v/>
          </cell>
        </row>
        <row r="20">
          <cell r="J20" t="str">
            <v/>
          </cell>
        </row>
        <row r="21">
          <cell r="J21" t="str">
            <v/>
          </cell>
        </row>
        <row r="22">
          <cell r="J22" t="str">
            <v/>
          </cell>
        </row>
        <row r="23">
          <cell r="J23" t="str">
            <v/>
          </cell>
        </row>
        <row r="24">
          <cell r="J24" t="str">
            <v/>
          </cell>
        </row>
        <row r="25">
          <cell r="J25" t="str">
            <v/>
          </cell>
        </row>
        <row r="26">
          <cell r="J26" t="str">
            <v/>
          </cell>
        </row>
        <row r="27">
          <cell r="J27" t="str">
            <v/>
          </cell>
        </row>
        <row r="28">
          <cell r="J28" t="str">
            <v/>
          </cell>
        </row>
        <row r="29">
          <cell r="J29" t="str">
            <v/>
          </cell>
        </row>
        <row r="30">
          <cell r="J30" t="str">
            <v/>
          </cell>
        </row>
        <row r="31">
          <cell r="J31" t="str">
            <v/>
          </cell>
        </row>
        <row r="32">
          <cell r="J32" t="str">
            <v/>
          </cell>
        </row>
        <row r="33">
          <cell r="J33" t="str">
            <v/>
          </cell>
        </row>
        <row r="34">
          <cell r="J34" t="str">
            <v/>
          </cell>
        </row>
        <row r="35">
          <cell r="J35" t="str">
            <v/>
          </cell>
        </row>
        <row r="36">
          <cell r="J36" t="str">
            <v/>
          </cell>
        </row>
        <row r="37">
          <cell r="J37" t="str">
            <v/>
          </cell>
        </row>
        <row r="38">
          <cell r="J38" t="str">
            <v/>
          </cell>
        </row>
        <row r="39">
          <cell r="J39" t="str">
            <v/>
          </cell>
        </row>
        <row r="40">
          <cell r="J40" t="str">
            <v/>
          </cell>
        </row>
        <row r="41">
          <cell r="J41" t="str">
            <v/>
          </cell>
        </row>
        <row r="42">
          <cell r="J42" t="str">
            <v/>
          </cell>
        </row>
        <row r="43">
          <cell r="J43" t="str">
            <v/>
          </cell>
        </row>
        <row r="44">
          <cell r="J44" t="str">
            <v/>
          </cell>
        </row>
        <row r="45">
          <cell r="J45" t="str">
            <v/>
          </cell>
        </row>
        <row r="46">
          <cell r="J46" t="str">
            <v/>
          </cell>
        </row>
        <row r="47">
          <cell r="J47" t="str">
            <v/>
          </cell>
        </row>
        <row r="48">
          <cell r="J48" t="str">
            <v/>
          </cell>
        </row>
        <row r="49">
          <cell r="J49" t="str">
            <v/>
          </cell>
        </row>
        <row r="50">
          <cell r="J50" t="str">
            <v/>
          </cell>
        </row>
        <row r="51">
          <cell r="J51" t="str">
            <v/>
          </cell>
        </row>
        <row r="52">
          <cell r="J52" t="str">
            <v/>
          </cell>
        </row>
        <row r="53">
          <cell r="J53" t="str">
            <v/>
          </cell>
        </row>
        <row r="54">
          <cell r="J54" t="str">
            <v/>
          </cell>
        </row>
        <row r="55">
          <cell r="J55" t="str">
            <v/>
          </cell>
        </row>
        <row r="56">
          <cell r="J56" t="str">
            <v/>
          </cell>
        </row>
        <row r="57">
          <cell r="J57" t="str">
            <v/>
          </cell>
        </row>
        <row r="58">
          <cell r="J58" t="str">
            <v/>
          </cell>
        </row>
        <row r="59">
          <cell r="J59" t="str">
            <v/>
          </cell>
        </row>
        <row r="60">
          <cell r="J60" t="str">
            <v/>
          </cell>
        </row>
        <row r="61">
          <cell r="J61" t="str">
            <v/>
          </cell>
        </row>
        <row r="62">
          <cell r="J62" t="str">
            <v/>
          </cell>
        </row>
        <row r="63">
          <cell r="J63" t="str">
            <v/>
          </cell>
        </row>
        <row r="64">
          <cell r="J64" t="str">
            <v/>
          </cell>
        </row>
        <row r="65">
          <cell r="J65" t="str">
            <v/>
          </cell>
        </row>
        <row r="66">
          <cell r="J66" t="str">
            <v/>
          </cell>
        </row>
        <row r="67">
          <cell r="J67" t="str">
            <v/>
          </cell>
        </row>
        <row r="68">
          <cell r="J68" t="str">
            <v/>
          </cell>
        </row>
        <row r="69">
          <cell r="J69" t="str">
            <v/>
          </cell>
        </row>
        <row r="70">
          <cell r="J70" t="str">
            <v/>
          </cell>
        </row>
        <row r="71">
          <cell r="J71" t="str">
            <v/>
          </cell>
        </row>
        <row r="72">
          <cell r="J72" t="str">
            <v/>
          </cell>
        </row>
        <row r="73">
          <cell r="J73" t="str">
            <v/>
          </cell>
        </row>
        <row r="74">
          <cell r="J74" t="str">
            <v/>
          </cell>
        </row>
        <row r="75">
          <cell r="J75" t="str">
            <v/>
          </cell>
        </row>
        <row r="76">
          <cell r="J76" t="str">
            <v/>
          </cell>
        </row>
        <row r="77">
          <cell r="J77" t="str">
            <v/>
          </cell>
        </row>
        <row r="78">
          <cell r="J78" t="str">
            <v/>
          </cell>
        </row>
        <row r="79">
          <cell r="J79" t="str">
            <v/>
          </cell>
        </row>
        <row r="80">
          <cell r="J80" t="str">
            <v/>
          </cell>
        </row>
        <row r="81">
          <cell r="J81" t="str">
            <v/>
          </cell>
        </row>
        <row r="82">
          <cell r="J82" t="str">
            <v/>
          </cell>
        </row>
        <row r="83">
          <cell r="J83" t="str">
            <v/>
          </cell>
        </row>
        <row r="84">
          <cell r="J84" t="str">
            <v/>
          </cell>
        </row>
        <row r="85">
          <cell r="J85" t="str">
            <v/>
          </cell>
        </row>
        <row r="86">
          <cell r="J86" t="str">
            <v/>
          </cell>
        </row>
        <row r="87">
          <cell r="J87" t="str">
            <v/>
          </cell>
        </row>
        <row r="88">
          <cell r="J88" t="str">
            <v/>
          </cell>
        </row>
        <row r="89">
          <cell r="J89" t="str">
            <v/>
          </cell>
        </row>
        <row r="90">
          <cell r="J90" t="str">
            <v/>
          </cell>
        </row>
        <row r="91">
          <cell r="J91" t="str">
            <v/>
          </cell>
        </row>
        <row r="92">
          <cell r="J92" t="str">
            <v/>
          </cell>
        </row>
        <row r="93">
          <cell r="J93" t="str">
            <v/>
          </cell>
        </row>
        <row r="94">
          <cell r="J94" t="str">
            <v/>
          </cell>
        </row>
        <row r="95">
          <cell r="J95" t="str">
            <v/>
          </cell>
        </row>
        <row r="96">
          <cell r="J96" t="str">
            <v/>
          </cell>
        </row>
        <row r="97">
          <cell r="J97" t="str">
            <v/>
          </cell>
        </row>
        <row r="98">
          <cell r="J98" t="str">
            <v/>
          </cell>
        </row>
        <row r="99">
          <cell r="J99" t="str">
            <v/>
          </cell>
        </row>
        <row r="100">
          <cell r="J100" t="str">
            <v/>
          </cell>
        </row>
        <row r="101">
          <cell r="J101" t="str">
            <v/>
          </cell>
        </row>
        <row r="102">
          <cell r="J102" t="str">
            <v/>
          </cell>
        </row>
        <row r="103">
          <cell r="J103" t="str">
            <v/>
          </cell>
        </row>
        <row r="104">
          <cell r="J104" t="str">
            <v/>
          </cell>
        </row>
        <row r="105">
          <cell r="J105" t="str">
            <v/>
          </cell>
        </row>
        <row r="106">
          <cell r="J106" t="str">
            <v/>
          </cell>
        </row>
        <row r="107">
          <cell r="J107" t="str">
            <v/>
          </cell>
        </row>
        <row r="108">
          <cell r="J108" t="str">
            <v/>
          </cell>
        </row>
        <row r="109">
          <cell r="J109" t="str">
            <v/>
          </cell>
        </row>
        <row r="110">
          <cell r="J110" t="str">
            <v/>
          </cell>
        </row>
        <row r="111">
          <cell r="J111" t="str">
            <v/>
          </cell>
        </row>
        <row r="112">
          <cell r="J112" t="str">
            <v/>
          </cell>
        </row>
        <row r="113">
          <cell r="J113" t="str">
            <v/>
          </cell>
        </row>
        <row r="114">
          <cell r="J114" t="str">
            <v/>
          </cell>
        </row>
        <row r="115">
          <cell r="J115" t="str">
            <v/>
          </cell>
        </row>
        <row r="116">
          <cell r="J116" t="str">
            <v/>
          </cell>
        </row>
        <row r="117">
          <cell r="J117" t="str">
            <v/>
          </cell>
        </row>
        <row r="118">
          <cell r="J118" t="str">
            <v/>
          </cell>
        </row>
        <row r="119">
          <cell r="J119" t="str">
            <v/>
          </cell>
        </row>
        <row r="120">
          <cell r="J120" t="str">
            <v/>
          </cell>
        </row>
        <row r="121">
          <cell r="J121" t="str">
            <v/>
          </cell>
        </row>
        <row r="122">
          <cell r="J122" t="str">
            <v/>
          </cell>
        </row>
        <row r="123">
          <cell r="J123" t="str">
            <v/>
          </cell>
        </row>
        <row r="124">
          <cell r="J124" t="str">
            <v/>
          </cell>
        </row>
        <row r="125">
          <cell r="J125" t="str">
            <v/>
          </cell>
        </row>
        <row r="126">
          <cell r="J126" t="str">
            <v/>
          </cell>
        </row>
        <row r="127">
          <cell r="J127" t="str">
            <v/>
          </cell>
        </row>
        <row r="128">
          <cell r="J128" t="str">
            <v/>
          </cell>
        </row>
        <row r="129">
          <cell r="J129" t="str">
            <v/>
          </cell>
        </row>
        <row r="130">
          <cell r="J130" t="str">
            <v/>
          </cell>
        </row>
        <row r="131">
          <cell r="J131" t="str">
            <v/>
          </cell>
        </row>
        <row r="132">
          <cell r="J132" t="str">
            <v/>
          </cell>
        </row>
        <row r="133">
          <cell r="J133" t="str">
            <v/>
          </cell>
        </row>
        <row r="134">
          <cell r="J134" t="str">
            <v/>
          </cell>
        </row>
        <row r="135">
          <cell r="J135" t="str">
            <v/>
          </cell>
        </row>
        <row r="136">
          <cell r="J136" t="str">
            <v/>
          </cell>
        </row>
        <row r="137">
          <cell r="J137" t="str">
            <v/>
          </cell>
        </row>
        <row r="138">
          <cell r="J138" t="str">
            <v/>
          </cell>
        </row>
        <row r="139">
          <cell r="J139" t="str">
            <v/>
          </cell>
        </row>
        <row r="140">
          <cell r="J140" t="str">
            <v/>
          </cell>
        </row>
        <row r="141">
          <cell r="J141" t="str">
            <v/>
          </cell>
        </row>
        <row r="142">
          <cell r="J142" t="str">
            <v/>
          </cell>
        </row>
        <row r="143">
          <cell r="J143" t="str">
            <v/>
          </cell>
        </row>
        <row r="144">
          <cell r="J144" t="str">
            <v/>
          </cell>
        </row>
        <row r="145">
          <cell r="J145" t="str">
            <v/>
          </cell>
        </row>
        <row r="146">
          <cell r="J146" t="str">
            <v/>
          </cell>
        </row>
        <row r="147">
          <cell r="J147" t="str">
            <v/>
          </cell>
        </row>
        <row r="148">
          <cell r="J148" t="str">
            <v/>
          </cell>
        </row>
        <row r="149">
          <cell r="J149" t="str">
            <v/>
          </cell>
        </row>
        <row r="150">
          <cell r="J150" t="str">
            <v/>
          </cell>
        </row>
        <row r="151">
          <cell r="J151" t="str">
            <v/>
          </cell>
        </row>
        <row r="152">
          <cell r="J152" t="str">
            <v/>
          </cell>
        </row>
        <row r="153">
          <cell r="J153" t="str">
            <v/>
          </cell>
        </row>
        <row r="154">
          <cell r="J154" t="str">
            <v/>
          </cell>
        </row>
        <row r="155">
          <cell r="J155" t="str">
            <v/>
          </cell>
        </row>
        <row r="156">
          <cell r="J156" t="str">
            <v/>
          </cell>
        </row>
        <row r="157">
          <cell r="J157" t="str">
            <v/>
          </cell>
        </row>
        <row r="158">
          <cell r="J158" t="str">
            <v/>
          </cell>
        </row>
        <row r="159">
          <cell r="J159" t="str">
            <v/>
          </cell>
        </row>
        <row r="160">
          <cell r="J160" t="str">
            <v/>
          </cell>
        </row>
        <row r="161">
          <cell r="J161" t="str">
            <v/>
          </cell>
        </row>
        <row r="162">
          <cell r="J162" t="str">
            <v/>
          </cell>
        </row>
        <row r="163">
          <cell r="J163" t="str">
            <v/>
          </cell>
        </row>
        <row r="164">
          <cell r="J164" t="str">
            <v/>
          </cell>
        </row>
        <row r="165">
          <cell r="J165" t="str">
            <v/>
          </cell>
        </row>
        <row r="166">
          <cell r="J166" t="str">
            <v/>
          </cell>
        </row>
        <row r="167">
          <cell r="J167" t="str">
            <v/>
          </cell>
        </row>
        <row r="168">
          <cell r="J168" t="str">
            <v/>
          </cell>
        </row>
        <row r="169">
          <cell r="J169" t="str">
            <v/>
          </cell>
        </row>
        <row r="170">
          <cell r="J170" t="str">
            <v/>
          </cell>
        </row>
        <row r="171">
          <cell r="J171" t="str">
            <v/>
          </cell>
        </row>
        <row r="172">
          <cell r="J172" t="str">
            <v/>
          </cell>
        </row>
        <row r="173">
          <cell r="J173" t="str">
            <v/>
          </cell>
        </row>
        <row r="174">
          <cell r="J174" t="str">
            <v/>
          </cell>
        </row>
        <row r="175">
          <cell r="J175" t="str">
            <v/>
          </cell>
        </row>
        <row r="176">
          <cell r="J176" t="str">
            <v/>
          </cell>
        </row>
        <row r="177">
          <cell r="J177" t="str">
            <v/>
          </cell>
        </row>
        <row r="178">
          <cell r="J178" t="str">
            <v/>
          </cell>
        </row>
        <row r="179">
          <cell r="J179" t="str">
            <v/>
          </cell>
        </row>
        <row r="180">
          <cell r="J180" t="str">
            <v/>
          </cell>
        </row>
        <row r="181">
          <cell r="J181" t="str">
            <v/>
          </cell>
        </row>
        <row r="182">
          <cell r="J182" t="str">
            <v/>
          </cell>
        </row>
        <row r="183">
          <cell r="J183" t="str">
            <v/>
          </cell>
        </row>
        <row r="184">
          <cell r="J184" t="str">
            <v/>
          </cell>
        </row>
        <row r="185">
          <cell r="J185" t="str">
            <v/>
          </cell>
        </row>
        <row r="186">
          <cell r="J186" t="str">
            <v/>
          </cell>
        </row>
        <row r="187">
          <cell r="J187" t="str">
            <v/>
          </cell>
        </row>
        <row r="188">
          <cell r="J188" t="str">
            <v/>
          </cell>
        </row>
        <row r="189">
          <cell r="J189" t="str">
            <v/>
          </cell>
        </row>
        <row r="190">
          <cell r="J190" t="str">
            <v/>
          </cell>
        </row>
        <row r="191">
          <cell r="J191" t="str">
            <v/>
          </cell>
        </row>
        <row r="192">
          <cell r="J192" t="str">
            <v/>
          </cell>
        </row>
        <row r="193">
          <cell r="J193" t="str">
            <v/>
          </cell>
        </row>
        <row r="194">
          <cell r="J194" t="str">
            <v/>
          </cell>
        </row>
        <row r="195">
          <cell r="J195" t="str">
            <v/>
          </cell>
        </row>
        <row r="196">
          <cell r="J196" t="str">
            <v/>
          </cell>
        </row>
        <row r="197">
          <cell r="J197" t="str">
            <v/>
          </cell>
        </row>
        <row r="198">
          <cell r="J198" t="str">
            <v/>
          </cell>
        </row>
        <row r="199">
          <cell r="J199" t="str">
            <v/>
          </cell>
        </row>
        <row r="200">
          <cell r="J200" t="str">
            <v/>
          </cell>
        </row>
        <row r="201">
          <cell r="J201" t="str">
            <v/>
          </cell>
        </row>
        <row r="202">
          <cell r="J202" t="str">
            <v/>
          </cell>
        </row>
        <row r="203">
          <cell r="J203" t="str">
            <v/>
          </cell>
        </row>
        <row r="204">
          <cell r="J204" t="str">
            <v/>
          </cell>
        </row>
        <row r="205">
          <cell r="J205" t="str">
            <v/>
          </cell>
        </row>
        <row r="206">
          <cell r="J206" t="str">
            <v/>
          </cell>
        </row>
        <row r="207">
          <cell r="J207" t="str">
            <v/>
          </cell>
        </row>
        <row r="208">
          <cell r="J208" t="str">
            <v/>
          </cell>
        </row>
        <row r="209">
          <cell r="J209" t="str">
            <v/>
          </cell>
        </row>
        <row r="210">
          <cell r="J210" t="str">
            <v/>
          </cell>
        </row>
        <row r="211">
          <cell r="J211" t="str">
            <v/>
          </cell>
        </row>
        <row r="212">
          <cell r="J212" t="str">
            <v/>
          </cell>
        </row>
        <row r="213">
          <cell r="J213" t="str">
            <v/>
          </cell>
        </row>
        <row r="214">
          <cell r="J214" t="str">
            <v/>
          </cell>
        </row>
        <row r="215">
          <cell r="J215" t="str">
            <v/>
          </cell>
        </row>
        <row r="216">
          <cell r="J216" t="str">
            <v/>
          </cell>
        </row>
        <row r="217">
          <cell r="J217" t="str">
            <v/>
          </cell>
        </row>
        <row r="218">
          <cell r="J218" t="str">
            <v/>
          </cell>
        </row>
        <row r="219">
          <cell r="J219" t="str">
            <v/>
          </cell>
        </row>
        <row r="220">
          <cell r="J220" t="str">
            <v/>
          </cell>
        </row>
        <row r="221">
          <cell r="J221" t="str">
            <v/>
          </cell>
        </row>
        <row r="222">
          <cell r="J222" t="str">
            <v/>
          </cell>
        </row>
        <row r="223">
          <cell r="J223" t="str">
            <v/>
          </cell>
        </row>
        <row r="224">
          <cell r="J224" t="str">
            <v/>
          </cell>
        </row>
        <row r="225">
          <cell r="J225" t="str">
            <v/>
          </cell>
        </row>
        <row r="226">
          <cell r="J226" t="str">
            <v/>
          </cell>
        </row>
        <row r="227">
          <cell r="J227" t="str">
            <v/>
          </cell>
        </row>
        <row r="228">
          <cell r="J228" t="str">
            <v/>
          </cell>
        </row>
        <row r="229">
          <cell r="J229" t="str">
            <v/>
          </cell>
        </row>
        <row r="230">
          <cell r="J230" t="str">
            <v/>
          </cell>
        </row>
        <row r="231">
          <cell r="J231" t="str">
            <v/>
          </cell>
        </row>
        <row r="232">
          <cell r="J232" t="str">
            <v/>
          </cell>
        </row>
        <row r="233">
          <cell r="J233" t="str">
            <v/>
          </cell>
        </row>
        <row r="234">
          <cell r="J234" t="str">
            <v/>
          </cell>
        </row>
        <row r="235">
          <cell r="J235" t="str">
            <v/>
          </cell>
        </row>
        <row r="236">
          <cell r="J236" t="str">
            <v/>
          </cell>
        </row>
        <row r="237">
          <cell r="J237" t="str">
            <v/>
          </cell>
        </row>
        <row r="238">
          <cell r="J238" t="str">
            <v/>
          </cell>
        </row>
        <row r="239">
          <cell r="J239" t="str">
            <v/>
          </cell>
        </row>
        <row r="240">
          <cell r="J240" t="str">
            <v/>
          </cell>
        </row>
        <row r="241">
          <cell r="J241" t="str">
            <v/>
          </cell>
        </row>
        <row r="242">
          <cell r="J242" t="str">
            <v/>
          </cell>
        </row>
        <row r="243">
          <cell r="J243" t="str">
            <v/>
          </cell>
        </row>
        <row r="244">
          <cell r="J244" t="str">
            <v/>
          </cell>
        </row>
        <row r="245">
          <cell r="J245" t="str">
            <v/>
          </cell>
        </row>
        <row r="246">
          <cell r="J246" t="str">
            <v/>
          </cell>
        </row>
        <row r="247">
          <cell r="J247" t="str">
            <v/>
          </cell>
        </row>
        <row r="248">
          <cell r="J248" t="str">
            <v/>
          </cell>
        </row>
        <row r="249">
          <cell r="J249" t="str">
            <v/>
          </cell>
        </row>
        <row r="250">
          <cell r="J250" t="str">
            <v/>
          </cell>
        </row>
        <row r="251">
          <cell r="J251" t="str">
            <v/>
          </cell>
        </row>
        <row r="252">
          <cell r="J252" t="str">
            <v/>
          </cell>
        </row>
        <row r="253">
          <cell r="J253" t="str">
            <v/>
          </cell>
        </row>
        <row r="254">
          <cell r="J254" t="str">
            <v/>
          </cell>
        </row>
        <row r="255">
          <cell r="J255" t="str">
            <v/>
          </cell>
        </row>
        <row r="256">
          <cell r="J256" t="str">
            <v/>
          </cell>
        </row>
        <row r="257">
          <cell r="J257" t="str">
            <v/>
          </cell>
        </row>
        <row r="258">
          <cell r="J258" t="str">
            <v/>
          </cell>
        </row>
        <row r="259">
          <cell r="J259" t="str">
            <v/>
          </cell>
        </row>
        <row r="260">
          <cell r="J260" t="str">
            <v/>
          </cell>
        </row>
        <row r="261">
          <cell r="J261" t="str">
            <v/>
          </cell>
        </row>
        <row r="262">
          <cell r="J262" t="str">
            <v/>
          </cell>
        </row>
        <row r="263">
          <cell r="J263" t="str">
            <v/>
          </cell>
        </row>
        <row r="264">
          <cell r="J264" t="str">
            <v/>
          </cell>
        </row>
        <row r="265">
          <cell r="J265" t="str">
            <v/>
          </cell>
        </row>
        <row r="266">
          <cell r="J266" t="str">
            <v/>
          </cell>
        </row>
        <row r="267">
          <cell r="J267" t="str">
            <v/>
          </cell>
        </row>
        <row r="268">
          <cell r="J268" t="str">
            <v/>
          </cell>
        </row>
        <row r="269">
          <cell r="J269" t="str">
            <v/>
          </cell>
        </row>
        <row r="270">
          <cell r="J270" t="str">
            <v/>
          </cell>
        </row>
        <row r="271">
          <cell r="J271" t="str">
            <v/>
          </cell>
        </row>
        <row r="272">
          <cell r="J272" t="str">
            <v/>
          </cell>
        </row>
        <row r="273">
          <cell r="J273" t="str">
            <v/>
          </cell>
        </row>
        <row r="274">
          <cell r="J274" t="str">
            <v/>
          </cell>
        </row>
        <row r="275">
          <cell r="J275" t="str">
            <v/>
          </cell>
        </row>
        <row r="276">
          <cell r="J276" t="str">
            <v/>
          </cell>
        </row>
        <row r="277">
          <cell r="J277" t="str">
            <v/>
          </cell>
        </row>
        <row r="278">
          <cell r="J278" t="str">
            <v/>
          </cell>
        </row>
        <row r="279">
          <cell r="J279" t="str">
            <v/>
          </cell>
        </row>
        <row r="280">
          <cell r="J280" t="str">
            <v/>
          </cell>
        </row>
        <row r="281">
          <cell r="J281" t="str">
            <v/>
          </cell>
        </row>
        <row r="282">
          <cell r="J282" t="str">
            <v/>
          </cell>
        </row>
        <row r="283">
          <cell r="J283" t="str">
            <v/>
          </cell>
        </row>
        <row r="284">
          <cell r="J284" t="str">
            <v/>
          </cell>
        </row>
        <row r="285">
          <cell r="J285" t="str">
            <v/>
          </cell>
        </row>
        <row r="286">
          <cell r="J286" t="str">
            <v/>
          </cell>
        </row>
        <row r="287">
          <cell r="J287" t="str">
            <v/>
          </cell>
        </row>
        <row r="288">
          <cell r="J288" t="str">
            <v/>
          </cell>
        </row>
        <row r="289">
          <cell r="J289" t="str">
            <v/>
          </cell>
        </row>
        <row r="290">
          <cell r="J290" t="str">
            <v/>
          </cell>
        </row>
        <row r="291">
          <cell r="J291" t="str">
            <v/>
          </cell>
        </row>
        <row r="292">
          <cell r="J292" t="str">
            <v/>
          </cell>
        </row>
        <row r="293">
          <cell r="J293" t="str">
            <v/>
          </cell>
        </row>
        <row r="294">
          <cell r="J294" t="str">
            <v/>
          </cell>
        </row>
        <row r="295">
          <cell r="J295" t="str">
            <v/>
          </cell>
        </row>
        <row r="296">
          <cell r="J296" t="str">
            <v/>
          </cell>
        </row>
        <row r="297">
          <cell r="J297" t="str">
            <v/>
          </cell>
        </row>
        <row r="298">
          <cell r="J298" t="str">
            <v/>
          </cell>
        </row>
        <row r="299">
          <cell r="J299" t="str">
            <v/>
          </cell>
        </row>
        <row r="300">
          <cell r="J300" t="str">
            <v/>
          </cell>
        </row>
        <row r="301">
          <cell r="J301" t="str">
            <v/>
          </cell>
        </row>
        <row r="302">
          <cell r="J302" t="str">
            <v/>
          </cell>
        </row>
        <row r="303">
          <cell r="J303" t="str">
            <v/>
          </cell>
        </row>
        <row r="304">
          <cell r="J304" t="str">
            <v/>
          </cell>
        </row>
        <row r="305">
          <cell r="J305" t="str">
            <v/>
          </cell>
        </row>
        <row r="306">
          <cell r="J306" t="str">
            <v/>
          </cell>
        </row>
        <row r="307">
          <cell r="J307" t="str">
            <v/>
          </cell>
        </row>
        <row r="308">
          <cell r="J308" t="str">
            <v/>
          </cell>
        </row>
        <row r="309">
          <cell r="J309" t="str">
            <v/>
          </cell>
        </row>
        <row r="310">
          <cell r="J310" t="str">
            <v/>
          </cell>
        </row>
        <row r="311">
          <cell r="J311" t="str">
            <v/>
          </cell>
        </row>
        <row r="312">
          <cell r="J312" t="str">
            <v/>
          </cell>
        </row>
        <row r="313">
          <cell r="J313" t="str">
            <v/>
          </cell>
        </row>
        <row r="314">
          <cell r="J314" t="str">
            <v/>
          </cell>
        </row>
        <row r="315">
          <cell r="J315" t="str">
            <v/>
          </cell>
        </row>
        <row r="316">
          <cell r="J316" t="str">
            <v/>
          </cell>
        </row>
        <row r="317">
          <cell r="J317" t="str">
            <v/>
          </cell>
        </row>
        <row r="318">
          <cell r="J318" t="str">
            <v/>
          </cell>
        </row>
        <row r="319">
          <cell r="J319" t="str">
            <v/>
          </cell>
        </row>
        <row r="320">
          <cell r="J320" t="str">
            <v/>
          </cell>
        </row>
        <row r="321">
          <cell r="J321" t="str">
            <v/>
          </cell>
        </row>
        <row r="322">
          <cell r="J322" t="str">
            <v/>
          </cell>
        </row>
        <row r="323">
          <cell r="J323" t="str">
            <v/>
          </cell>
        </row>
        <row r="324">
          <cell r="J324" t="str">
            <v/>
          </cell>
        </row>
        <row r="325">
          <cell r="J325" t="str">
            <v/>
          </cell>
        </row>
        <row r="326">
          <cell r="J326" t="str">
            <v/>
          </cell>
        </row>
        <row r="327">
          <cell r="J327" t="str">
            <v/>
          </cell>
        </row>
        <row r="328">
          <cell r="J328" t="str">
            <v/>
          </cell>
        </row>
        <row r="329">
          <cell r="J329" t="str">
            <v/>
          </cell>
        </row>
        <row r="330">
          <cell r="J330" t="str">
            <v/>
          </cell>
        </row>
        <row r="331">
          <cell r="J331" t="str">
            <v/>
          </cell>
        </row>
        <row r="332">
          <cell r="J332" t="str">
            <v/>
          </cell>
        </row>
        <row r="333">
          <cell r="J333" t="str">
            <v/>
          </cell>
        </row>
        <row r="334">
          <cell r="J334" t="str">
            <v/>
          </cell>
        </row>
        <row r="335">
          <cell r="J335" t="str">
            <v/>
          </cell>
        </row>
        <row r="336">
          <cell r="J336" t="str">
            <v/>
          </cell>
        </row>
        <row r="337">
          <cell r="J337" t="str">
            <v/>
          </cell>
        </row>
        <row r="338">
          <cell r="J338" t="str">
            <v/>
          </cell>
        </row>
        <row r="339">
          <cell r="J339" t="str">
            <v/>
          </cell>
        </row>
        <row r="340">
          <cell r="J340" t="str">
            <v/>
          </cell>
        </row>
        <row r="341">
          <cell r="J341" t="str">
            <v/>
          </cell>
        </row>
        <row r="342">
          <cell r="J342" t="str">
            <v/>
          </cell>
        </row>
        <row r="343">
          <cell r="J343" t="str">
            <v/>
          </cell>
        </row>
        <row r="344">
          <cell r="J344" t="str">
            <v/>
          </cell>
        </row>
        <row r="345">
          <cell r="J345" t="str">
            <v/>
          </cell>
        </row>
        <row r="346">
          <cell r="J346" t="str">
            <v/>
          </cell>
        </row>
        <row r="347">
          <cell r="J347" t="str">
            <v/>
          </cell>
        </row>
        <row r="348">
          <cell r="J348" t="str">
            <v/>
          </cell>
        </row>
        <row r="349">
          <cell r="J349" t="str">
            <v/>
          </cell>
        </row>
        <row r="350">
          <cell r="J350" t="str">
            <v/>
          </cell>
        </row>
        <row r="351">
          <cell r="J351" t="str">
            <v/>
          </cell>
        </row>
        <row r="352">
          <cell r="J352" t="str">
            <v/>
          </cell>
        </row>
        <row r="353">
          <cell r="J353" t="str">
            <v/>
          </cell>
        </row>
        <row r="354">
          <cell r="J354" t="str">
            <v/>
          </cell>
        </row>
        <row r="355">
          <cell r="J355" t="str">
            <v/>
          </cell>
        </row>
        <row r="356">
          <cell r="J356" t="str">
            <v/>
          </cell>
        </row>
        <row r="357">
          <cell r="J357" t="str">
            <v/>
          </cell>
        </row>
        <row r="358">
          <cell r="J358" t="str">
            <v/>
          </cell>
        </row>
        <row r="359">
          <cell r="J359" t="str">
            <v/>
          </cell>
        </row>
        <row r="360">
          <cell r="J360" t="str">
            <v/>
          </cell>
        </row>
        <row r="361">
          <cell r="J361" t="str">
            <v/>
          </cell>
        </row>
        <row r="362">
          <cell r="J362" t="str">
            <v/>
          </cell>
        </row>
        <row r="363">
          <cell r="J363" t="str">
            <v/>
          </cell>
        </row>
        <row r="364">
          <cell r="J364" t="str">
            <v/>
          </cell>
        </row>
        <row r="365">
          <cell r="J365" t="str">
            <v/>
          </cell>
        </row>
        <row r="366">
          <cell r="J366" t="str">
            <v/>
          </cell>
        </row>
        <row r="367">
          <cell r="J367" t="str">
            <v/>
          </cell>
        </row>
        <row r="368">
          <cell r="J368" t="str">
            <v/>
          </cell>
        </row>
        <row r="369">
          <cell r="J369" t="str">
            <v/>
          </cell>
        </row>
        <row r="370">
          <cell r="J370" t="str">
            <v/>
          </cell>
        </row>
        <row r="371">
          <cell r="J371" t="str">
            <v/>
          </cell>
        </row>
        <row r="372">
          <cell r="J372" t="str">
            <v/>
          </cell>
        </row>
        <row r="373">
          <cell r="J373" t="str">
            <v/>
          </cell>
        </row>
        <row r="374">
          <cell r="J374" t="str">
            <v/>
          </cell>
        </row>
        <row r="375">
          <cell r="J375" t="str">
            <v/>
          </cell>
        </row>
        <row r="376">
          <cell r="J376" t="str">
            <v/>
          </cell>
        </row>
        <row r="377">
          <cell r="J377" t="str">
            <v/>
          </cell>
        </row>
        <row r="378">
          <cell r="J378" t="str">
            <v/>
          </cell>
        </row>
        <row r="379">
          <cell r="J379" t="str">
            <v/>
          </cell>
        </row>
        <row r="380">
          <cell r="J380" t="str">
            <v/>
          </cell>
        </row>
        <row r="381">
          <cell r="J381" t="str">
            <v/>
          </cell>
        </row>
        <row r="382">
          <cell r="J382" t="str">
            <v/>
          </cell>
        </row>
        <row r="383">
          <cell r="J383" t="str">
            <v/>
          </cell>
        </row>
        <row r="384">
          <cell r="J384" t="str">
            <v/>
          </cell>
        </row>
        <row r="385">
          <cell r="J385" t="str">
            <v/>
          </cell>
        </row>
        <row r="386">
          <cell r="J386" t="str">
            <v>x</v>
          </cell>
        </row>
        <row r="387">
          <cell r="J387" t="str">
            <v>x</v>
          </cell>
        </row>
        <row r="388">
          <cell r="J388" t="str">
            <v>x</v>
          </cell>
        </row>
        <row r="389">
          <cell r="J389" t="str">
            <v>x</v>
          </cell>
        </row>
        <row r="390">
          <cell r="J390" t="str">
            <v>x</v>
          </cell>
        </row>
        <row r="391">
          <cell r="J391" t="str">
            <v>x</v>
          </cell>
        </row>
        <row r="392">
          <cell r="J392" t="str">
            <v>x</v>
          </cell>
        </row>
        <row r="393">
          <cell r="J393" t="str">
            <v>x</v>
          </cell>
        </row>
        <row r="394">
          <cell r="J394" t="str">
            <v>x</v>
          </cell>
        </row>
        <row r="395">
          <cell r="J395" t="str">
            <v/>
          </cell>
        </row>
        <row r="396">
          <cell r="J396" t="str">
            <v/>
          </cell>
        </row>
        <row r="397">
          <cell r="J397" t="str">
            <v/>
          </cell>
        </row>
        <row r="398">
          <cell r="J398" t="str">
            <v/>
          </cell>
        </row>
        <row r="399">
          <cell r="J399" t="str">
            <v/>
          </cell>
        </row>
        <row r="400">
          <cell r="J400" t="str">
            <v/>
          </cell>
        </row>
        <row r="401">
          <cell r="J401" t="str">
            <v/>
          </cell>
        </row>
        <row r="402">
          <cell r="J402" t="str">
            <v/>
          </cell>
        </row>
        <row r="403">
          <cell r="J403" t="str">
            <v/>
          </cell>
        </row>
        <row r="404">
          <cell r="J404" t="str">
            <v/>
          </cell>
        </row>
        <row r="405">
          <cell r="J405" t="str">
            <v/>
          </cell>
        </row>
        <row r="406">
          <cell r="J406" t="str">
            <v/>
          </cell>
        </row>
        <row r="407">
          <cell r="J407" t="str">
            <v/>
          </cell>
        </row>
        <row r="408">
          <cell r="J408" t="str">
            <v/>
          </cell>
        </row>
        <row r="409">
          <cell r="J409" t="str">
            <v/>
          </cell>
        </row>
        <row r="410">
          <cell r="J410" t="str">
            <v/>
          </cell>
        </row>
        <row r="411">
          <cell r="J411" t="str">
            <v/>
          </cell>
        </row>
        <row r="412">
          <cell r="J412" t="str">
            <v/>
          </cell>
        </row>
        <row r="413">
          <cell r="J413" t="str">
            <v/>
          </cell>
        </row>
        <row r="414">
          <cell r="J414" t="str">
            <v/>
          </cell>
        </row>
        <row r="415">
          <cell r="J415" t="str">
            <v/>
          </cell>
        </row>
        <row r="416">
          <cell r="J416" t="str">
            <v/>
          </cell>
        </row>
        <row r="417">
          <cell r="J417" t="str">
            <v/>
          </cell>
        </row>
        <row r="418">
          <cell r="J418" t="str">
            <v/>
          </cell>
        </row>
        <row r="419">
          <cell r="J419" t="str">
            <v/>
          </cell>
        </row>
        <row r="420">
          <cell r="J420" t="str">
            <v/>
          </cell>
        </row>
        <row r="421">
          <cell r="J421" t="str">
            <v/>
          </cell>
        </row>
        <row r="422">
          <cell r="J422" t="str">
            <v/>
          </cell>
        </row>
        <row r="423">
          <cell r="J423" t="str">
            <v/>
          </cell>
        </row>
        <row r="424">
          <cell r="J424" t="str">
            <v/>
          </cell>
        </row>
        <row r="425">
          <cell r="J425" t="str">
            <v/>
          </cell>
        </row>
        <row r="426">
          <cell r="J426" t="str">
            <v/>
          </cell>
        </row>
        <row r="427">
          <cell r="J427" t="str">
            <v/>
          </cell>
        </row>
        <row r="428">
          <cell r="J428" t="str">
            <v/>
          </cell>
        </row>
        <row r="429">
          <cell r="J429" t="str">
            <v/>
          </cell>
        </row>
        <row r="430">
          <cell r="J430" t="str">
            <v/>
          </cell>
        </row>
        <row r="431">
          <cell r="J431" t="str">
            <v/>
          </cell>
        </row>
        <row r="432">
          <cell r="J432" t="str">
            <v/>
          </cell>
        </row>
        <row r="433">
          <cell r="J433" t="str">
            <v/>
          </cell>
        </row>
        <row r="434">
          <cell r="J434" t="str">
            <v/>
          </cell>
        </row>
        <row r="435">
          <cell r="J435" t="str">
            <v/>
          </cell>
        </row>
        <row r="436">
          <cell r="J436" t="str">
            <v/>
          </cell>
        </row>
        <row r="437">
          <cell r="J437" t="str">
            <v/>
          </cell>
        </row>
        <row r="438">
          <cell r="J438" t="str">
            <v/>
          </cell>
        </row>
        <row r="439">
          <cell r="J439" t="str">
            <v/>
          </cell>
        </row>
        <row r="440">
          <cell r="J440" t="str">
            <v/>
          </cell>
        </row>
        <row r="441">
          <cell r="J441" t="str">
            <v/>
          </cell>
        </row>
        <row r="442">
          <cell r="J442" t="str">
            <v/>
          </cell>
        </row>
        <row r="443">
          <cell r="J443" t="str">
            <v/>
          </cell>
        </row>
        <row r="444">
          <cell r="J444" t="str">
            <v/>
          </cell>
        </row>
        <row r="445">
          <cell r="J445" t="str">
            <v/>
          </cell>
        </row>
        <row r="446">
          <cell r="J446" t="str">
            <v/>
          </cell>
        </row>
        <row r="447">
          <cell r="J447" t="str">
            <v/>
          </cell>
        </row>
        <row r="448">
          <cell r="J448" t="str">
            <v/>
          </cell>
        </row>
        <row r="449">
          <cell r="J449" t="str">
            <v/>
          </cell>
        </row>
        <row r="450">
          <cell r="J450" t="str">
            <v/>
          </cell>
        </row>
        <row r="451">
          <cell r="J451" t="str">
            <v/>
          </cell>
        </row>
        <row r="452">
          <cell r="J452" t="str">
            <v/>
          </cell>
        </row>
        <row r="453">
          <cell r="J453" t="str">
            <v/>
          </cell>
        </row>
        <row r="454">
          <cell r="J454" t="str">
            <v/>
          </cell>
        </row>
        <row r="455">
          <cell r="J455" t="str">
            <v/>
          </cell>
        </row>
        <row r="456">
          <cell r="J456" t="str">
            <v/>
          </cell>
        </row>
        <row r="457">
          <cell r="J457" t="str">
            <v/>
          </cell>
        </row>
        <row r="458">
          <cell r="J458" t="str">
            <v/>
          </cell>
        </row>
        <row r="459">
          <cell r="J459" t="str">
            <v/>
          </cell>
        </row>
        <row r="460">
          <cell r="J460" t="str">
            <v/>
          </cell>
        </row>
        <row r="461">
          <cell r="J461" t="str">
            <v/>
          </cell>
        </row>
        <row r="462">
          <cell r="J462" t="str">
            <v/>
          </cell>
        </row>
        <row r="463">
          <cell r="J463" t="str">
            <v/>
          </cell>
        </row>
        <row r="464">
          <cell r="J464" t="str">
            <v/>
          </cell>
        </row>
        <row r="465">
          <cell r="J465" t="str">
            <v/>
          </cell>
        </row>
        <row r="466">
          <cell r="J466" t="str">
            <v/>
          </cell>
        </row>
        <row r="467">
          <cell r="J467" t="str">
            <v/>
          </cell>
        </row>
        <row r="468">
          <cell r="J468" t="str">
            <v/>
          </cell>
        </row>
        <row r="469">
          <cell r="J469" t="str">
            <v/>
          </cell>
        </row>
        <row r="470">
          <cell r="J470" t="str">
            <v/>
          </cell>
        </row>
        <row r="471">
          <cell r="J471" t="str">
            <v/>
          </cell>
        </row>
        <row r="472">
          <cell r="J472" t="str">
            <v/>
          </cell>
        </row>
        <row r="473">
          <cell r="J473" t="str">
            <v/>
          </cell>
        </row>
        <row r="474">
          <cell r="J474" t="str">
            <v/>
          </cell>
        </row>
        <row r="475">
          <cell r="J475" t="str">
            <v/>
          </cell>
        </row>
        <row r="476">
          <cell r="J476" t="str">
            <v/>
          </cell>
        </row>
        <row r="477">
          <cell r="J477" t="str">
            <v/>
          </cell>
        </row>
        <row r="478">
          <cell r="J478" t="str">
            <v/>
          </cell>
        </row>
        <row r="479">
          <cell r="J479" t="str">
            <v/>
          </cell>
        </row>
        <row r="480">
          <cell r="J480" t="str">
            <v/>
          </cell>
        </row>
        <row r="481">
          <cell r="J481" t="str">
            <v/>
          </cell>
        </row>
        <row r="482">
          <cell r="J482" t="str">
            <v/>
          </cell>
        </row>
        <row r="483">
          <cell r="J483" t="str">
            <v/>
          </cell>
        </row>
        <row r="484">
          <cell r="J484" t="str">
            <v/>
          </cell>
        </row>
        <row r="485">
          <cell r="J485" t="str">
            <v/>
          </cell>
        </row>
        <row r="486">
          <cell r="J486" t="str">
            <v/>
          </cell>
        </row>
        <row r="487">
          <cell r="J487" t="str">
            <v/>
          </cell>
        </row>
        <row r="488">
          <cell r="J488" t="str">
            <v/>
          </cell>
        </row>
        <row r="489">
          <cell r="J489" t="str">
            <v/>
          </cell>
        </row>
        <row r="490">
          <cell r="J490" t="str">
            <v/>
          </cell>
        </row>
        <row r="491">
          <cell r="J491" t="str">
            <v/>
          </cell>
        </row>
        <row r="492">
          <cell r="J492" t="str">
            <v/>
          </cell>
        </row>
        <row r="493">
          <cell r="J493" t="str">
            <v/>
          </cell>
        </row>
        <row r="494">
          <cell r="J494" t="str">
            <v/>
          </cell>
        </row>
        <row r="495">
          <cell r="J495" t="str">
            <v/>
          </cell>
        </row>
        <row r="496">
          <cell r="J496" t="str">
            <v/>
          </cell>
        </row>
        <row r="497">
          <cell r="J497" t="str">
            <v/>
          </cell>
        </row>
        <row r="498">
          <cell r="J498" t="str">
            <v/>
          </cell>
        </row>
        <row r="499">
          <cell r="J499" t="str">
            <v/>
          </cell>
        </row>
        <row r="500">
          <cell r="J500" t="str">
            <v/>
          </cell>
        </row>
        <row r="501">
          <cell r="J501" t="str">
            <v/>
          </cell>
        </row>
        <row r="502">
          <cell r="J502" t="str">
            <v/>
          </cell>
        </row>
        <row r="503">
          <cell r="J503" t="str">
            <v/>
          </cell>
        </row>
        <row r="504">
          <cell r="J504" t="str">
            <v/>
          </cell>
        </row>
        <row r="505">
          <cell r="J505" t="str">
            <v/>
          </cell>
        </row>
        <row r="506">
          <cell r="J506" t="str">
            <v/>
          </cell>
        </row>
        <row r="507">
          <cell r="J507" t="str">
            <v/>
          </cell>
        </row>
        <row r="508">
          <cell r="J508" t="str">
            <v/>
          </cell>
        </row>
        <row r="509">
          <cell r="J509" t="str">
            <v/>
          </cell>
        </row>
        <row r="510">
          <cell r="J510" t="str">
            <v/>
          </cell>
        </row>
        <row r="511">
          <cell r="J511" t="str">
            <v/>
          </cell>
        </row>
        <row r="512">
          <cell r="J512" t="str">
            <v/>
          </cell>
        </row>
        <row r="513">
          <cell r="J513" t="str">
            <v/>
          </cell>
        </row>
        <row r="514">
          <cell r="J514" t="str">
            <v/>
          </cell>
        </row>
        <row r="515">
          <cell r="J515" t="str">
            <v/>
          </cell>
        </row>
        <row r="516">
          <cell r="J516" t="str">
            <v/>
          </cell>
        </row>
        <row r="517">
          <cell r="J517" t="str">
            <v/>
          </cell>
        </row>
        <row r="518">
          <cell r="J518" t="str">
            <v/>
          </cell>
        </row>
        <row r="519">
          <cell r="J519" t="str">
            <v/>
          </cell>
        </row>
        <row r="520">
          <cell r="J520" t="str">
            <v/>
          </cell>
        </row>
        <row r="521">
          <cell r="J521" t="str">
            <v/>
          </cell>
        </row>
        <row r="522">
          <cell r="J522" t="str">
            <v/>
          </cell>
        </row>
        <row r="523">
          <cell r="J523" t="str">
            <v/>
          </cell>
        </row>
        <row r="524">
          <cell r="J524" t="str">
            <v/>
          </cell>
        </row>
        <row r="525">
          <cell r="J525" t="str">
            <v/>
          </cell>
        </row>
        <row r="526">
          <cell r="J526" t="str">
            <v/>
          </cell>
        </row>
        <row r="527">
          <cell r="J527" t="str">
            <v/>
          </cell>
        </row>
        <row r="528">
          <cell r="J528" t="str">
            <v/>
          </cell>
        </row>
        <row r="529">
          <cell r="J529" t="str">
            <v/>
          </cell>
        </row>
        <row r="530">
          <cell r="J530" t="str">
            <v/>
          </cell>
        </row>
        <row r="531">
          <cell r="J531" t="str">
            <v/>
          </cell>
        </row>
        <row r="532">
          <cell r="J532" t="str">
            <v/>
          </cell>
        </row>
        <row r="533">
          <cell r="J533" t="str">
            <v/>
          </cell>
        </row>
        <row r="534">
          <cell r="J534" t="str">
            <v/>
          </cell>
        </row>
        <row r="535">
          <cell r="J535" t="str">
            <v/>
          </cell>
        </row>
        <row r="536">
          <cell r="J536" t="str">
            <v/>
          </cell>
        </row>
        <row r="537">
          <cell r="J537" t="str">
            <v/>
          </cell>
        </row>
        <row r="538">
          <cell r="J538" t="str">
            <v/>
          </cell>
        </row>
        <row r="539">
          <cell r="J539" t="str">
            <v/>
          </cell>
        </row>
        <row r="540">
          <cell r="J540" t="str">
            <v/>
          </cell>
        </row>
        <row r="541">
          <cell r="J541" t="str">
            <v/>
          </cell>
        </row>
        <row r="542">
          <cell r="J542" t="str">
            <v/>
          </cell>
        </row>
        <row r="543">
          <cell r="J543" t="str">
            <v/>
          </cell>
        </row>
        <row r="544">
          <cell r="J544" t="str">
            <v/>
          </cell>
        </row>
        <row r="545">
          <cell r="J545" t="str">
            <v/>
          </cell>
        </row>
        <row r="546">
          <cell r="J546" t="str">
            <v/>
          </cell>
        </row>
        <row r="547">
          <cell r="J547" t="str">
            <v/>
          </cell>
        </row>
        <row r="548">
          <cell r="J548" t="str">
            <v/>
          </cell>
        </row>
        <row r="549">
          <cell r="J549" t="str">
            <v/>
          </cell>
        </row>
        <row r="550">
          <cell r="J550" t="str">
            <v/>
          </cell>
        </row>
        <row r="551">
          <cell r="J551" t="str">
            <v/>
          </cell>
        </row>
        <row r="552">
          <cell r="J552" t="str">
            <v/>
          </cell>
        </row>
        <row r="553">
          <cell r="J553" t="str">
            <v/>
          </cell>
        </row>
        <row r="554">
          <cell r="J554" t="str">
            <v/>
          </cell>
        </row>
        <row r="555">
          <cell r="J555" t="str">
            <v/>
          </cell>
        </row>
        <row r="556">
          <cell r="J556" t="str">
            <v/>
          </cell>
        </row>
        <row r="557">
          <cell r="J557" t="str">
            <v/>
          </cell>
        </row>
        <row r="558">
          <cell r="J558" t="str">
            <v/>
          </cell>
        </row>
        <row r="559">
          <cell r="J559" t="str">
            <v/>
          </cell>
        </row>
        <row r="560">
          <cell r="J560" t="str">
            <v/>
          </cell>
        </row>
        <row r="561">
          <cell r="J561" t="str">
            <v/>
          </cell>
        </row>
        <row r="562">
          <cell r="J562" t="str">
            <v/>
          </cell>
        </row>
        <row r="563">
          <cell r="J563" t="str">
            <v/>
          </cell>
        </row>
        <row r="564">
          <cell r="J564" t="str">
            <v/>
          </cell>
        </row>
        <row r="565">
          <cell r="J565" t="str">
            <v/>
          </cell>
        </row>
        <row r="566">
          <cell r="J566" t="str">
            <v/>
          </cell>
        </row>
        <row r="567">
          <cell r="J567" t="str">
            <v/>
          </cell>
        </row>
        <row r="568">
          <cell r="J568" t="str">
            <v/>
          </cell>
        </row>
        <row r="569">
          <cell r="J569" t="str">
            <v/>
          </cell>
        </row>
        <row r="570">
          <cell r="J570" t="str">
            <v/>
          </cell>
        </row>
        <row r="571">
          <cell r="J571" t="str">
            <v/>
          </cell>
        </row>
        <row r="572">
          <cell r="J572" t="str">
            <v/>
          </cell>
        </row>
        <row r="573">
          <cell r="J573" t="str">
            <v/>
          </cell>
        </row>
        <row r="574">
          <cell r="J574" t="str">
            <v/>
          </cell>
        </row>
        <row r="575">
          <cell r="J575" t="str">
            <v/>
          </cell>
        </row>
        <row r="576">
          <cell r="J576" t="str">
            <v/>
          </cell>
        </row>
        <row r="577">
          <cell r="J577" t="str">
            <v/>
          </cell>
        </row>
        <row r="578">
          <cell r="J578" t="str">
            <v/>
          </cell>
        </row>
        <row r="579">
          <cell r="J579" t="str">
            <v/>
          </cell>
        </row>
        <row r="580">
          <cell r="J580" t="str">
            <v/>
          </cell>
        </row>
        <row r="581">
          <cell r="J581" t="str">
            <v/>
          </cell>
        </row>
        <row r="582">
          <cell r="J582" t="str">
            <v/>
          </cell>
        </row>
        <row r="583">
          <cell r="J583" t="str">
            <v/>
          </cell>
        </row>
        <row r="584">
          <cell r="J584" t="str">
            <v/>
          </cell>
        </row>
        <row r="585">
          <cell r="J585" t="str">
            <v/>
          </cell>
        </row>
        <row r="586">
          <cell r="J586" t="str">
            <v/>
          </cell>
        </row>
        <row r="587">
          <cell r="J587" t="str">
            <v/>
          </cell>
        </row>
        <row r="588">
          <cell r="J588" t="str">
            <v/>
          </cell>
        </row>
        <row r="589">
          <cell r="J589" t="str">
            <v/>
          </cell>
        </row>
        <row r="590">
          <cell r="J590" t="str">
            <v/>
          </cell>
        </row>
        <row r="591">
          <cell r="J591" t="str">
            <v/>
          </cell>
        </row>
        <row r="592">
          <cell r="J592" t="str">
            <v/>
          </cell>
        </row>
        <row r="593">
          <cell r="J593" t="str">
            <v/>
          </cell>
        </row>
        <row r="594">
          <cell r="J594" t="str">
            <v/>
          </cell>
        </row>
        <row r="595">
          <cell r="J595" t="str">
            <v/>
          </cell>
        </row>
        <row r="596">
          <cell r="J596" t="str">
            <v/>
          </cell>
        </row>
        <row r="597">
          <cell r="J597" t="str">
            <v/>
          </cell>
        </row>
        <row r="598">
          <cell r="J598" t="str">
            <v/>
          </cell>
        </row>
        <row r="599">
          <cell r="J599" t="str">
            <v/>
          </cell>
        </row>
        <row r="600">
          <cell r="J600" t="str">
            <v/>
          </cell>
        </row>
        <row r="601">
          <cell r="J601" t="str">
            <v/>
          </cell>
        </row>
        <row r="602">
          <cell r="J602" t="str">
            <v/>
          </cell>
        </row>
        <row r="603">
          <cell r="J603" t="str">
            <v/>
          </cell>
        </row>
        <row r="604">
          <cell r="J604" t="str">
            <v/>
          </cell>
        </row>
        <row r="605">
          <cell r="J605" t="str">
            <v/>
          </cell>
        </row>
        <row r="606">
          <cell r="J606" t="str">
            <v/>
          </cell>
        </row>
        <row r="607">
          <cell r="J607" t="str">
            <v/>
          </cell>
        </row>
        <row r="608">
          <cell r="J608" t="str">
            <v/>
          </cell>
        </row>
        <row r="609">
          <cell r="J609" t="str">
            <v/>
          </cell>
        </row>
        <row r="610">
          <cell r="J610" t="str">
            <v/>
          </cell>
        </row>
        <row r="611">
          <cell r="J611" t="str">
            <v/>
          </cell>
        </row>
        <row r="612">
          <cell r="J612" t="str">
            <v/>
          </cell>
        </row>
        <row r="613">
          <cell r="J613" t="str">
            <v/>
          </cell>
        </row>
        <row r="614">
          <cell r="J614" t="str">
            <v/>
          </cell>
        </row>
        <row r="615">
          <cell r="J615" t="str">
            <v/>
          </cell>
        </row>
        <row r="616">
          <cell r="J616" t="str">
            <v/>
          </cell>
        </row>
        <row r="617">
          <cell r="J617" t="str">
            <v/>
          </cell>
        </row>
        <row r="618">
          <cell r="J618" t="str">
            <v/>
          </cell>
        </row>
        <row r="619">
          <cell r="J619" t="str">
            <v/>
          </cell>
        </row>
        <row r="620">
          <cell r="J620" t="str">
            <v/>
          </cell>
        </row>
        <row r="621">
          <cell r="J621" t="str">
            <v/>
          </cell>
        </row>
        <row r="622">
          <cell r="J622" t="str">
            <v/>
          </cell>
        </row>
        <row r="623">
          <cell r="J623" t="str">
            <v/>
          </cell>
        </row>
        <row r="624">
          <cell r="J624" t="str">
            <v/>
          </cell>
        </row>
        <row r="625">
          <cell r="J625" t="str">
            <v/>
          </cell>
        </row>
        <row r="626">
          <cell r="J626" t="str">
            <v/>
          </cell>
        </row>
        <row r="627">
          <cell r="J627" t="str">
            <v/>
          </cell>
        </row>
        <row r="628">
          <cell r="J628" t="str">
            <v/>
          </cell>
        </row>
        <row r="629">
          <cell r="J629" t="str">
            <v/>
          </cell>
        </row>
        <row r="630">
          <cell r="J630" t="str">
            <v/>
          </cell>
        </row>
        <row r="631">
          <cell r="J631" t="str">
            <v/>
          </cell>
        </row>
        <row r="632">
          <cell r="J632" t="str">
            <v/>
          </cell>
        </row>
        <row r="633">
          <cell r="J633" t="str">
            <v/>
          </cell>
        </row>
        <row r="634">
          <cell r="J634" t="str">
            <v/>
          </cell>
        </row>
        <row r="635">
          <cell r="J635" t="str">
            <v/>
          </cell>
        </row>
        <row r="636">
          <cell r="J636" t="str">
            <v/>
          </cell>
        </row>
        <row r="637">
          <cell r="J637" t="str">
            <v/>
          </cell>
        </row>
        <row r="638">
          <cell r="J638" t="str">
            <v/>
          </cell>
        </row>
        <row r="639">
          <cell r="J639" t="str">
            <v/>
          </cell>
        </row>
        <row r="640">
          <cell r="J640" t="str">
            <v/>
          </cell>
        </row>
        <row r="641">
          <cell r="J641" t="str">
            <v/>
          </cell>
        </row>
        <row r="642">
          <cell r="J642" t="str">
            <v/>
          </cell>
        </row>
        <row r="643">
          <cell r="J643" t="str">
            <v/>
          </cell>
        </row>
        <row r="644">
          <cell r="J644" t="str">
            <v/>
          </cell>
        </row>
        <row r="645">
          <cell r="J645" t="str">
            <v/>
          </cell>
        </row>
        <row r="646">
          <cell r="J646" t="str">
            <v/>
          </cell>
        </row>
        <row r="647">
          <cell r="J647" t="str">
            <v/>
          </cell>
        </row>
        <row r="648">
          <cell r="J648" t="str">
            <v/>
          </cell>
        </row>
        <row r="649">
          <cell r="J649" t="str">
            <v/>
          </cell>
        </row>
        <row r="650">
          <cell r="J650" t="str">
            <v/>
          </cell>
        </row>
        <row r="651">
          <cell r="J651" t="str">
            <v/>
          </cell>
        </row>
        <row r="652">
          <cell r="J652" t="str">
            <v/>
          </cell>
        </row>
        <row r="653">
          <cell r="J653" t="str">
            <v/>
          </cell>
        </row>
        <row r="654">
          <cell r="J654" t="str">
            <v/>
          </cell>
        </row>
        <row r="655">
          <cell r="J655" t="str">
            <v/>
          </cell>
        </row>
        <row r="656">
          <cell r="J656" t="str">
            <v/>
          </cell>
        </row>
        <row r="657">
          <cell r="J657" t="str">
            <v/>
          </cell>
        </row>
        <row r="658">
          <cell r="J658" t="str">
            <v/>
          </cell>
        </row>
        <row r="659">
          <cell r="J659" t="str">
            <v/>
          </cell>
        </row>
        <row r="660">
          <cell r="J660" t="str">
            <v/>
          </cell>
        </row>
        <row r="661">
          <cell r="J661" t="str">
            <v/>
          </cell>
        </row>
        <row r="662">
          <cell r="J662" t="str">
            <v/>
          </cell>
        </row>
        <row r="663">
          <cell r="J663" t="str">
            <v/>
          </cell>
        </row>
        <row r="664">
          <cell r="J664" t="str">
            <v/>
          </cell>
        </row>
        <row r="665">
          <cell r="J665" t="str">
            <v/>
          </cell>
        </row>
        <row r="666">
          <cell r="J666" t="str">
            <v/>
          </cell>
        </row>
        <row r="667">
          <cell r="J667" t="str">
            <v/>
          </cell>
        </row>
        <row r="668">
          <cell r="J668" t="str">
            <v/>
          </cell>
        </row>
        <row r="669">
          <cell r="J669" t="str">
            <v/>
          </cell>
        </row>
        <row r="670">
          <cell r="J670" t="str">
            <v/>
          </cell>
        </row>
        <row r="671">
          <cell r="J671" t="str">
            <v/>
          </cell>
        </row>
        <row r="672">
          <cell r="J672" t="str">
            <v/>
          </cell>
        </row>
        <row r="673">
          <cell r="J673" t="str">
            <v/>
          </cell>
        </row>
        <row r="674">
          <cell r="J674" t="str">
            <v/>
          </cell>
        </row>
        <row r="675">
          <cell r="J675" t="str">
            <v/>
          </cell>
        </row>
        <row r="676">
          <cell r="J676" t="str">
            <v/>
          </cell>
        </row>
        <row r="677">
          <cell r="J677" t="str">
            <v/>
          </cell>
        </row>
        <row r="678">
          <cell r="J678" t="str">
            <v/>
          </cell>
        </row>
        <row r="679">
          <cell r="J679" t="str">
            <v/>
          </cell>
        </row>
        <row r="680">
          <cell r="J680" t="str">
            <v>x</v>
          </cell>
        </row>
        <row r="681">
          <cell r="J681" t="str">
            <v>x</v>
          </cell>
        </row>
        <row r="682">
          <cell r="J682" t="str">
            <v>x</v>
          </cell>
        </row>
        <row r="683">
          <cell r="J683" t="str">
            <v>x</v>
          </cell>
        </row>
        <row r="684">
          <cell r="J684" t="str">
            <v>x</v>
          </cell>
        </row>
        <row r="685">
          <cell r="J685" t="str">
            <v>x</v>
          </cell>
        </row>
        <row r="686">
          <cell r="J686" t="str">
            <v>x</v>
          </cell>
        </row>
        <row r="687">
          <cell r="J687" t="str">
            <v>x</v>
          </cell>
        </row>
        <row r="688">
          <cell r="J688" t="str">
            <v>x</v>
          </cell>
        </row>
        <row r="689">
          <cell r="J689" t="str">
            <v/>
          </cell>
        </row>
        <row r="690">
          <cell r="J690" t="str">
            <v/>
          </cell>
        </row>
        <row r="691">
          <cell r="J691" t="str">
            <v/>
          </cell>
        </row>
        <row r="692">
          <cell r="J692" t="str">
            <v/>
          </cell>
        </row>
        <row r="693">
          <cell r="J693" t="str">
            <v/>
          </cell>
        </row>
        <row r="694">
          <cell r="J694" t="str">
            <v/>
          </cell>
        </row>
        <row r="695">
          <cell r="J695" t="str">
            <v/>
          </cell>
        </row>
        <row r="696">
          <cell r="J696" t="str">
            <v/>
          </cell>
        </row>
        <row r="697">
          <cell r="J697" t="str">
            <v/>
          </cell>
        </row>
        <row r="698">
          <cell r="J698" t="str">
            <v/>
          </cell>
        </row>
        <row r="699">
          <cell r="J699" t="str">
            <v/>
          </cell>
        </row>
        <row r="700">
          <cell r="J700" t="str">
            <v/>
          </cell>
        </row>
        <row r="701">
          <cell r="J701" t="str">
            <v/>
          </cell>
        </row>
        <row r="702">
          <cell r="J702" t="str">
            <v/>
          </cell>
        </row>
        <row r="703">
          <cell r="J703" t="str">
            <v/>
          </cell>
        </row>
        <row r="704">
          <cell r="J704" t="str">
            <v/>
          </cell>
        </row>
        <row r="705">
          <cell r="J705" t="str">
            <v/>
          </cell>
        </row>
        <row r="706">
          <cell r="J706" t="str">
            <v/>
          </cell>
        </row>
        <row r="707">
          <cell r="J707" t="str">
            <v/>
          </cell>
        </row>
        <row r="708">
          <cell r="J708" t="str">
            <v/>
          </cell>
        </row>
        <row r="709">
          <cell r="J709" t="str">
            <v/>
          </cell>
        </row>
        <row r="710">
          <cell r="J710" t="str">
            <v/>
          </cell>
        </row>
        <row r="711">
          <cell r="J711" t="str">
            <v/>
          </cell>
        </row>
        <row r="712">
          <cell r="J712" t="str">
            <v/>
          </cell>
        </row>
        <row r="713">
          <cell r="J713" t="str">
            <v/>
          </cell>
        </row>
        <row r="714">
          <cell r="J714" t="str">
            <v/>
          </cell>
        </row>
        <row r="715">
          <cell r="J715" t="str">
            <v/>
          </cell>
        </row>
        <row r="716">
          <cell r="J716" t="str">
            <v/>
          </cell>
        </row>
        <row r="717">
          <cell r="J717" t="str">
            <v/>
          </cell>
        </row>
        <row r="718">
          <cell r="J718" t="str">
            <v/>
          </cell>
        </row>
        <row r="719">
          <cell r="J719" t="str">
            <v/>
          </cell>
        </row>
        <row r="720">
          <cell r="J720" t="str">
            <v/>
          </cell>
        </row>
        <row r="721">
          <cell r="J721" t="str">
            <v/>
          </cell>
        </row>
        <row r="722">
          <cell r="J722" t="str">
            <v/>
          </cell>
        </row>
        <row r="723">
          <cell r="J723" t="str">
            <v/>
          </cell>
        </row>
        <row r="724">
          <cell r="J724" t="str">
            <v/>
          </cell>
        </row>
        <row r="725">
          <cell r="J725" t="str">
            <v/>
          </cell>
        </row>
        <row r="726">
          <cell r="J726" t="str">
            <v/>
          </cell>
        </row>
        <row r="727">
          <cell r="J727" t="str">
            <v/>
          </cell>
        </row>
        <row r="728">
          <cell r="J728" t="str">
            <v/>
          </cell>
        </row>
        <row r="729">
          <cell r="J729" t="str">
            <v/>
          </cell>
        </row>
        <row r="730">
          <cell r="J730" t="str">
            <v/>
          </cell>
        </row>
        <row r="731">
          <cell r="J731" t="str">
            <v/>
          </cell>
        </row>
        <row r="732">
          <cell r="J732" t="str">
            <v/>
          </cell>
        </row>
        <row r="733">
          <cell r="J733" t="str">
            <v/>
          </cell>
        </row>
        <row r="734">
          <cell r="J734" t="str">
            <v/>
          </cell>
        </row>
        <row r="735">
          <cell r="J735" t="str">
            <v/>
          </cell>
        </row>
        <row r="736">
          <cell r="J736" t="str">
            <v/>
          </cell>
        </row>
        <row r="737">
          <cell r="J737" t="str">
            <v/>
          </cell>
        </row>
        <row r="738">
          <cell r="J738" t="str">
            <v/>
          </cell>
        </row>
        <row r="739">
          <cell r="J739" t="str">
            <v/>
          </cell>
        </row>
        <row r="740">
          <cell r="J740" t="str">
            <v/>
          </cell>
        </row>
        <row r="741">
          <cell r="J741" t="str">
            <v/>
          </cell>
        </row>
        <row r="742">
          <cell r="J742" t="str">
            <v/>
          </cell>
        </row>
        <row r="743">
          <cell r="J743" t="str">
            <v/>
          </cell>
        </row>
        <row r="744">
          <cell r="J744" t="str">
            <v/>
          </cell>
        </row>
        <row r="745">
          <cell r="J745" t="str">
            <v/>
          </cell>
        </row>
        <row r="746">
          <cell r="J746" t="str">
            <v/>
          </cell>
        </row>
        <row r="747">
          <cell r="J747" t="str">
            <v/>
          </cell>
        </row>
        <row r="748">
          <cell r="J748" t="str">
            <v/>
          </cell>
        </row>
        <row r="749">
          <cell r="J749" t="str">
            <v/>
          </cell>
        </row>
        <row r="750">
          <cell r="J750" t="str">
            <v/>
          </cell>
        </row>
        <row r="751">
          <cell r="J751" t="str">
            <v/>
          </cell>
        </row>
        <row r="752">
          <cell r="J752" t="str">
            <v/>
          </cell>
        </row>
        <row r="753">
          <cell r="J753" t="str">
            <v/>
          </cell>
        </row>
        <row r="754">
          <cell r="J754" t="str">
            <v/>
          </cell>
        </row>
        <row r="755">
          <cell r="J755" t="str">
            <v/>
          </cell>
        </row>
        <row r="756">
          <cell r="J756" t="str">
            <v/>
          </cell>
        </row>
        <row r="757">
          <cell r="J757" t="str">
            <v/>
          </cell>
        </row>
        <row r="758">
          <cell r="J758" t="str">
            <v/>
          </cell>
        </row>
        <row r="759">
          <cell r="J759" t="str">
            <v/>
          </cell>
        </row>
        <row r="760">
          <cell r="J760" t="str">
            <v/>
          </cell>
        </row>
        <row r="761">
          <cell r="J761" t="str">
            <v/>
          </cell>
        </row>
        <row r="762">
          <cell r="J762" t="str">
            <v/>
          </cell>
        </row>
        <row r="763">
          <cell r="J763" t="str">
            <v/>
          </cell>
        </row>
        <row r="764">
          <cell r="J764" t="str">
            <v/>
          </cell>
        </row>
        <row r="765">
          <cell r="J765" t="str">
            <v/>
          </cell>
        </row>
        <row r="766">
          <cell r="J766" t="str">
            <v/>
          </cell>
        </row>
        <row r="767">
          <cell r="J767" t="str">
            <v/>
          </cell>
        </row>
        <row r="768">
          <cell r="J768" t="str">
            <v/>
          </cell>
        </row>
        <row r="769">
          <cell r="J769" t="str">
            <v/>
          </cell>
        </row>
        <row r="770">
          <cell r="J770" t="str">
            <v/>
          </cell>
        </row>
        <row r="771">
          <cell r="J771" t="str">
            <v/>
          </cell>
        </row>
        <row r="772">
          <cell r="J772" t="str">
            <v/>
          </cell>
        </row>
        <row r="773">
          <cell r="J773" t="str">
            <v/>
          </cell>
        </row>
        <row r="774">
          <cell r="J774" t="str">
            <v/>
          </cell>
        </row>
        <row r="775">
          <cell r="J775" t="str">
            <v/>
          </cell>
        </row>
        <row r="776">
          <cell r="J776" t="str">
            <v/>
          </cell>
        </row>
        <row r="777">
          <cell r="J777" t="str">
            <v/>
          </cell>
        </row>
        <row r="778">
          <cell r="J778" t="str">
            <v/>
          </cell>
        </row>
        <row r="779">
          <cell r="J779" t="str">
            <v/>
          </cell>
        </row>
        <row r="780">
          <cell r="J780" t="str">
            <v/>
          </cell>
        </row>
        <row r="781">
          <cell r="J781" t="str">
            <v/>
          </cell>
        </row>
        <row r="782">
          <cell r="J782" t="str">
            <v/>
          </cell>
        </row>
        <row r="783">
          <cell r="J783" t="str">
            <v/>
          </cell>
        </row>
        <row r="784">
          <cell r="J784" t="str">
            <v/>
          </cell>
        </row>
        <row r="785">
          <cell r="J785" t="str">
            <v/>
          </cell>
        </row>
        <row r="786">
          <cell r="J786" t="str">
            <v/>
          </cell>
        </row>
        <row r="787">
          <cell r="J787" t="str">
            <v/>
          </cell>
        </row>
        <row r="788">
          <cell r="J788" t="str">
            <v/>
          </cell>
        </row>
        <row r="789">
          <cell r="J789" t="str">
            <v/>
          </cell>
        </row>
        <row r="790">
          <cell r="J790" t="str">
            <v/>
          </cell>
        </row>
        <row r="791">
          <cell r="J791" t="str">
            <v/>
          </cell>
        </row>
        <row r="792">
          <cell r="J792" t="str">
            <v/>
          </cell>
        </row>
        <row r="793">
          <cell r="J793" t="str">
            <v/>
          </cell>
        </row>
        <row r="794">
          <cell r="J794" t="str">
            <v/>
          </cell>
        </row>
        <row r="795">
          <cell r="J795" t="str">
            <v/>
          </cell>
        </row>
        <row r="796">
          <cell r="J796" t="str">
            <v/>
          </cell>
        </row>
        <row r="797">
          <cell r="J797" t="str">
            <v/>
          </cell>
        </row>
        <row r="798">
          <cell r="J798" t="str">
            <v/>
          </cell>
        </row>
        <row r="799">
          <cell r="J799" t="str">
            <v/>
          </cell>
        </row>
        <row r="800">
          <cell r="J800" t="str">
            <v/>
          </cell>
        </row>
        <row r="801">
          <cell r="J801" t="str">
            <v/>
          </cell>
        </row>
        <row r="802">
          <cell r="J802" t="str">
            <v/>
          </cell>
        </row>
        <row r="803">
          <cell r="J803" t="str">
            <v/>
          </cell>
        </row>
        <row r="804">
          <cell r="J804" t="str">
            <v/>
          </cell>
        </row>
        <row r="805">
          <cell r="J805" t="str">
            <v/>
          </cell>
        </row>
        <row r="806">
          <cell r="J806" t="str">
            <v/>
          </cell>
        </row>
        <row r="807">
          <cell r="J807" t="str">
            <v/>
          </cell>
        </row>
        <row r="808">
          <cell r="J808" t="str">
            <v/>
          </cell>
        </row>
        <row r="809">
          <cell r="J809" t="str">
            <v/>
          </cell>
        </row>
        <row r="810">
          <cell r="J810" t="str">
            <v/>
          </cell>
        </row>
        <row r="811">
          <cell r="J811" t="str">
            <v/>
          </cell>
        </row>
        <row r="812">
          <cell r="J812" t="str">
            <v/>
          </cell>
        </row>
        <row r="813">
          <cell r="J813" t="str">
            <v/>
          </cell>
        </row>
        <row r="814">
          <cell r="J814" t="str">
            <v/>
          </cell>
        </row>
        <row r="815">
          <cell r="J815" t="str">
            <v/>
          </cell>
        </row>
        <row r="816">
          <cell r="J816" t="str">
            <v/>
          </cell>
        </row>
        <row r="817">
          <cell r="J817" t="str">
            <v/>
          </cell>
        </row>
        <row r="818">
          <cell r="J818" t="str">
            <v/>
          </cell>
        </row>
        <row r="819">
          <cell r="J819" t="str">
            <v/>
          </cell>
        </row>
        <row r="820">
          <cell r="J820" t="str">
            <v/>
          </cell>
        </row>
        <row r="821">
          <cell r="J821" t="str">
            <v/>
          </cell>
        </row>
        <row r="822">
          <cell r="J822" t="str">
            <v/>
          </cell>
        </row>
        <row r="823">
          <cell r="J823" t="str">
            <v/>
          </cell>
        </row>
        <row r="824">
          <cell r="J824" t="str">
            <v/>
          </cell>
        </row>
        <row r="825">
          <cell r="J825" t="str">
            <v/>
          </cell>
        </row>
        <row r="826">
          <cell r="J826" t="str">
            <v/>
          </cell>
        </row>
        <row r="827">
          <cell r="J827" t="str">
            <v/>
          </cell>
        </row>
        <row r="828">
          <cell r="J828" t="str">
            <v/>
          </cell>
        </row>
        <row r="829">
          <cell r="J829" t="str">
            <v/>
          </cell>
        </row>
        <row r="830">
          <cell r="J830" t="str">
            <v/>
          </cell>
        </row>
        <row r="831">
          <cell r="J831" t="str">
            <v/>
          </cell>
        </row>
        <row r="832">
          <cell r="J832" t="str">
            <v/>
          </cell>
        </row>
        <row r="833">
          <cell r="J833" t="str">
            <v/>
          </cell>
        </row>
        <row r="834">
          <cell r="J834" t="str">
            <v/>
          </cell>
        </row>
        <row r="835">
          <cell r="J835" t="str">
            <v/>
          </cell>
        </row>
        <row r="836">
          <cell r="J836" t="str">
            <v/>
          </cell>
        </row>
        <row r="837">
          <cell r="J837" t="str">
            <v/>
          </cell>
        </row>
        <row r="838">
          <cell r="J838" t="str">
            <v/>
          </cell>
        </row>
        <row r="839">
          <cell r="J839" t="str">
            <v/>
          </cell>
        </row>
        <row r="840">
          <cell r="J840" t="str">
            <v/>
          </cell>
        </row>
        <row r="841">
          <cell r="J841" t="str">
            <v/>
          </cell>
        </row>
        <row r="842">
          <cell r="J842" t="str">
            <v/>
          </cell>
        </row>
        <row r="843">
          <cell r="J843" t="str">
            <v/>
          </cell>
        </row>
        <row r="844">
          <cell r="J844" t="str">
            <v/>
          </cell>
        </row>
        <row r="845">
          <cell r="J845" t="str">
            <v/>
          </cell>
        </row>
        <row r="846">
          <cell r="J846" t="str">
            <v/>
          </cell>
        </row>
        <row r="847">
          <cell r="J847" t="str">
            <v/>
          </cell>
        </row>
        <row r="848">
          <cell r="J848" t="str">
            <v/>
          </cell>
        </row>
        <row r="849">
          <cell r="J849" t="str">
            <v/>
          </cell>
        </row>
        <row r="850">
          <cell r="J850" t="str">
            <v/>
          </cell>
        </row>
        <row r="851">
          <cell r="J851" t="str">
            <v/>
          </cell>
        </row>
        <row r="852">
          <cell r="J852" t="str">
            <v/>
          </cell>
        </row>
        <row r="853">
          <cell r="J853" t="str">
            <v/>
          </cell>
        </row>
        <row r="854">
          <cell r="J854" t="str">
            <v/>
          </cell>
        </row>
        <row r="855">
          <cell r="J855" t="str">
            <v/>
          </cell>
        </row>
        <row r="856">
          <cell r="J856" t="str">
            <v/>
          </cell>
        </row>
        <row r="857">
          <cell r="J857" t="str">
            <v/>
          </cell>
        </row>
        <row r="858">
          <cell r="J858" t="str">
            <v/>
          </cell>
        </row>
        <row r="859">
          <cell r="J859" t="str">
            <v/>
          </cell>
        </row>
        <row r="860">
          <cell r="J860" t="str">
            <v/>
          </cell>
        </row>
        <row r="861">
          <cell r="J861" t="str">
            <v/>
          </cell>
        </row>
        <row r="862">
          <cell r="J862" t="str">
            <v/>
          </cell>
        </row>
        <row r="863">
          <cell r="J863" t="str">
            <v/>
          </cell>
        </row>
        <row r="864">
          <cell r="J864" t="str">
            <v/>
          </cell>
        </row>
        <row r="865">
          <cell r="J865" t="str">
            <v/>
          </cell>
        </row>
        <row r="866">
          <cell r="J866" t="str">
            <v/>
          </cell>
        </row>
        <row r="867">
          <cell r="J867" t="str">
            <v/>
          </cell>
        </row>
        <row r="868">
          <cell r="J868" t="str">
            <v/>
          </cell>
        </row>
        <row r="869">
          <cell r="J869" t="str">
            <v/>
          </cell>
        </row>
        <row r="870">
          <cell r="J870" t="str">
            <v/>
          </cell>
        </row>
        <row r="871">
          <cell r="J871" t="str">
            <v/>
          </cell>
        </row>
        <row r="872">
          <cell r="J872" t="str">
            <v/>
          </cell>
        </row>
        <row r="873">
          <cell r="J873" t="str">
            <v/>
          </cell>
        </row>
        <row r="874">
          <cell r="J874" t="str">
            <v/>
          </cell>
        </row>
        <row r="875">
          <cell r="J875" t="str">
            <v/>
          </cell>
        </row>
        <row r="876">
          <cell r="J876" t="str">
            <v/>
          </cell>
        </row>
        <row r="877">
          <cell r="J877" t="str">
            <v/>
          </cell>
        </row>
        <row r="878">
          <cell r="J878" t="str">
            <v/>
          </cell>
        </row>
        <row r="879">
          <cell r="J879" t="str">
            <v/>
          </cell>
        </row>
        <row r="880">
          <cell r="J880" t="str">
            <v/>
          </cell>
        </row>
        <row r="881">
          <cell r="J881" t="str">
            <v/>
          </cell>
        </row>
        <row r="882">
          <cell r="J882" t="str">
            <v/>
          </cell>
        </row>
        <row r="883">
          <cell r="J883" t="str">
            <v/>
          </cell>
        </row>
        <row r="884">
          <cell r="J884" t="str">
            <v/>
          </cell>
        </row>
        <row r="885">
          <cell r="J885" t="str">
            <v/>
          </cell>
        </row>
        <row r="886">
          <cell r="J886" t="str">
            <v/>
          </cell>
        </row>
        <row r="887">
          <cell r="J887" t="str">
            <v/>
          </cell>
        </row>
        <row r="888">
          <cell r="J888" t="str">
            <v/>
          </cell>
        </row>
        <row r="889">
          <cell r="J889" t="str">
            <v/>
          </cell>
        </row>
        <row r="890">
          <cell r="J890" t="str">
            <v/>
          </cell>
        </row>
        <row r="891">
          <cell r="J891" t="str">
            <v/>
          </cell>
        </row>
        <row r="892">
          <cell r="J892" t="str">
            <v/>
          </cell>
        </row>
        <row r="893">
          <cell r="J893" t="str">
            <v/>
          </cell>
        </row>
        <row r="894">
          <cell r="J894" t="str">
            <v/>
          </cell>
        </row>
        <row r="895">
          <cell r="J895" t="str">
            <v/>
          </cell>
        </row>
        <row r="896">
          <cell r="J896" t="str">
            <v/>
          </cell>
        </row>
        <row r="897">
          <cell r="J897" t="str">
            <v/>
          </cell>
        </row>
        <row r="898">
          <cell r="J898" t="str">
            <v/>
          </cell>
        </row>
        <row r="899">
          <cell r="J899" t="str">
            <v/>
          </cell>
        </row>
        <row r="900">
          <cell r="J900" t="str">
            <v/>
          </cell>
        </row>
        <row r="901">
          <cell r="J901" t="str">
            <v/>
          </cell>
        </row>
        <row r="902">
          <cell r="J902" t="str">
            <v/>
          </cell>
        </row>
        <row r="903">
          <cell r="J903" t="str">
            <v/>
          </cell>
        </row>
        <row r="904">
          <cell r="J904" t="str">
            <v/>
          </cell>
        </row>
        <row r="905">
          <cell r="J905" t="str">
            <v/>
          </cell>
        </row>
        <row r="906">
          <cell r="J906" t="str">
            <v/>
          </cell>
        </row>
        <row r="907">
          <cell r="J907" t="str">
            <v/>
          </cell>
        </row>
        <row r="908">
          <cell r="J908" t="str">
            <v/>
          </cell>
        </row>
        <row r="909">
          <cell r="J909" t="str">
            <v/>
          </cell>
        </row>
        <row r="910">
          <cell r="J910" t="str">
            <v/>
          </cell>
        </row>
        <row r="911">
          <cell r="J911" t="str">
            <v/>
          </cell>
        </row>
        <row r="912">
          <cell r="J912" t="str">
            <v/>
          </cell>
        </row>
        <row r="913">
          <cell r="J913" t="str">
            <v/>
          </cell>
        </row>
        <row r="914">
          <cell r="J914" t="str">
            <v/>
          </cell>
        </row>
        <row r="915">
          <cell r="J915" t="str">
            <v/>
          </cell>
        </row>
        <row r="916">
          <cell r="J916" t="str">
            <v/>
          </cell>
        </row>
        <row r="917">
          <cell r="J917" t="str">
            <v/>
          </cell>
        </row>
        <row r="918">
          <cell r="J918" t="str">
            <v/>
          </cell>
        </row>
        <row r="919">
          <cell r="J919" t="str">
            <v/>
          </cell>
        </row>
        <row r="920">
          <cell r="J920" t="str">
            <v/>
          </cell>
        </row>
        <row r="921">
          <cell r="J921" t="str">
            <v/>
          </cell>
        </row>
        <row r="922">
          <cell r="J922" t="str">
            <v/>
          </cell>
        </row>
        <row r="923">
          <cell r="J923" t="str">
            <v/>
          </cell>
        </row>
        <row r="924">
          <cell r="J924" t="str">
            <v/>
          </cell>
        </row>
        <row r="925">
          <cell r="J925" t="str">
            <v/>
          </cell>
        </row>
        <row r="926">
          <cell r="J926" t="str">
            <v/>
          </cell>
        </row>
        <row r="927">
          <cell r="J927" t="str">
            <v/>
          </cell>
        </row>
        <row r="928">
          <cell r="J928" t="str">
            <v/>
          </cell>
        </row>
        <row r="929">
          <cell r="J929" t="str">
            <v/>
          </cell>
        </row>
        <row r="930">
          <cell r="J930" t="str">
            <v/>
          </cell>
        </row>
        <row r="931">
          <cell r="J931" t="str">
            <v/>
          </cell>
        </row>
        <row r="932">
          <cell r="J932" t="str">
            <v/>
          </cell>
        </row>
        <row r="933">
          <cell r="J933" t="str">
            <v/>
          </cell>
        </row>
        <row r="934">
          <cell r="J934" t="str">
            <v/>
          </cell>
        </row>
        <row r="935">
          <cell r="J935" t="str">
            <v/>
          </cell>
        </row>
        <row r="936">
          <cell r="J936" t="str">
            <v/>
          </cell>
        </row>
        <row r="937">
          <cell r="J937" t="str">
            <v/>
          </cell>
        </row>
        <row r="938">
          <cell r="J938" t="str">
            <v/>
          </cell>
        </row>
        <row r="939">
          <cell r="J939" t="str">
            <v/>
          </cell>
        </row>
        <row r="940">
          <cell r="J940" t="str">
            <v/>
          </cell>
        </row>
        <row r="941">
          <cell r="J941" t="str">
            <v/>
          </cell>
        </row>
        <row r="942">
          <cell r="J942" t="str">
            <v/>
          </cell>
        </row>
        <row r="943">
          <cell r="J943" t="str">
            <v/>
          </cell>
        </row>
        <row r="944">
          <cell r="J944" t="str">
            <v/>
          </cell>
        </row>
        <row r="945">
          <cell r="J945" t="str">
            <v/>
          </cell>
        </row>
        <row r="946">
          <cell r="J946" t="str">
            <v/>
          </cell>
        </row>
        <row r="947">
          <cell r="J947" t="str">
            <v/>
          </cell>
        </row>
        <row r="948">
          <cell r="J948" t="str">
            <v/>
          </cell>
        </row>
        <row r="949">
          <cell r="J949" t="str">
            <v/>
          </cell>
        </row>
        <row r="950">
          <cell r="J950" t="str">
            <v/>
          </cell>
        </row>
        <row r="951">
          <cell r="J951" t="str">
            <v/>
          </cell>
        </row>
        <row r="952">
          <cell r="J952" t="str">
            <v/>
          </cell>
        </row>
        <row r="953">
          <cell r="J953" t="str">
            <v/>
          </cell>
        </row>
        <row r="954">
          <cell r="J954" t="str">
            <v/>
          </cell>
        </row>
        <row r="955">
          <cell r="J955" t="str">
            <v/>
          </cell>
        </row>
        <row r="956">
          <cell r="J956" t="str">
            <v/>
          </cell>
        </row>
        <row r="957">
          <cell r="J957" t="str">
            <v/>
          </cell>
        </row>
        <row r="958">
          <cell r="J958" t="str">
            <v/>
          </cell>
        </row>
        <row r="959">
          <cell r="J959" t="str">
            <v/>
          </cell>
        </row>
        <row r="960">
          <cell r="J960" t="str">
            <v/>
          </cell>
        </row>
        <row r="961">
          <cell r="J961" t="str">
            <v/>
          </cell>
        </row>
        <row r="962">
          <cell r="J962" t="str">
            <v/>
          </cell>
        </row>
        <row r="963">
          <cell r="J963" t="str">
            <v/>
          </cell>
        </row>
        <row r="964">
          <cell r="J964" t="str">
            <v/>
          </cell>
        </row>
        <row r="965">
          <cell r="J965" t="str">
            <v/>
          </cell>
        </row>
        <row r="966">
          <cell r="J966" t="str">
            <v/>
          </cell>
        </row>
        <row r="967">
          <cell r="J967" t="str">
            <v/>
          </cell>
        </row>
        <row r="968">
          <cell r="J968" t="str">
            <v/>
          </cell>
        </row>
        <row r="969">
          <cell r="J969" t="str">
            <v/>
          </cell>
        </row>
        <row r="970">
          <cell r="J970" t="str">
            <v/>
          </cell>
        </row>
        <row r="971">
          <cell r="J971" t="str">
            <v/>
          </cell>
        </row>
        <row r="972">
          <cell r="J972" t="str">
            <v/>
          </cell>
        </row>
        <row r="973">
          <cell r="J973" t="str">
            <v/>
          </cell>
        </row>
        <row r="974">
          <cell r="J974" t="str">
            <v/>
          </cell>
        </row>
        <row r="975">
          <cell r="J975" t="str">
            <v/>
          </cell>
        </row>
        <row r="976">
          <cell r="J976" t="str">
            <v/>
          </cell>
        </row>
        <row r="977">
          <cell r="J977" t="str">
            <v/>
          </cell>
        </row>
        <row r="978">
          <cell r="J978" t="str">
            <v/>
          </cell>
        </row>
        <row r="979">
          <cell r="J979" t="str">
            <v/>
          </cell>
        </row>
        <row r="980">
          <cell r="J980" t="str">
            <v/>
          </cell>
        </row>
        <row r="981">
          <cell r="J981" t="str">
            <v/>
          </cell>
        </row>
        <row r="982">
          <cell r="J982" t="str">
            <v/>
          </cell>
        </row>
        <row r="983">
          <cell r="J983" t="str">
            <v/>
          </cell>
        </row>
        <row r="984">
          <cell r="J984" t="str">
            <v/>
          </cell>
        </row>
        <row r="985">
          <cell r="J985" t="str">
            <v/>
          </cell>
        </row>
        <row r="986">
          <cell r="J986" t="str">
            <v/>
          </cell>
        </row>
        <row r="987">
          <cell r="J987" t="str">
            <v/>
          </cell>
        </row>
        <row r="988">
          <cell r="J988" t="str">
            <v/>
          </cell>
        </row>
        <row r="989">
          <cell r="J989" t="str">
            <v/>
          </cell>
        </row>
        <row r="990">
          <cell r="J990" t="str">
            <v/>
          </cell>
        </row>
        <row r="991">
          <cell r="J991" t="str">
            <v/>
          </cell>
        </row>
        <row r="992">
          <cell r="J992" t="str">
            <v/>
          </cell>
        </row>
        <row r="993">
          <cell r="J993" t="str">
            <v/>
          </cell>
        </row>
        <row r="994">
          <cell r="J994" t="str">
            <v/>
          </cell>
        </row>
        <row r="995">
          <cell r="J995" t="str">
            <v/>
          </cell>
        </row>
        <row r="996">
          <cell r="J996" t="str">
            <v/>
          </cell>
        </row>
        <row r="997">
          <cell r="J997" t="str">
            <v/>
          </cell>
        </row>
        <row r="998">
          <cell r="J998" t="str">
            <v/>
          </cell>
        </row>
        <row r="999">
          <cell r="J999" t="str">
            <v/>
          </cell>
        </row>
        <row r="1000">
          <cell r="J1000" t="str">
            <v/>
          </cell>
        </row>
        <row r="1001">
          <cell r="J1001" t="str">
            <v/>
          </cell>
        </row>
        <row r="1002">
          <cell r="J1002" t="str">
            <v/>
          </cell>
        </row>
        <row r="1003">
          <cell r="J1003" t="str">
            <v/>
          </cell>
        </row>
        <row r="1004">
          <cell r="J1004" t="str">
            <v/>
          </cell>
        </row>
        <row r="1005">
          <cell r="J1005" t="str">
            <v/>
          </cell>
        </row>
        <row r="1006">
          <cell r="J1006" t="str">
            <v/>
          </cell>
        </row>
        <row r="1007">
          <cell r="J1007" t="str">
            <v/>
          </cell>
        </row>
        <row r="1008">
          <cell r="J1008" t="str">
            <v/>
          </cell>
        </row>
        <row r="1009">
          <cell r="J1009" t="str">
            <v/>
          </cell>
        </row>
        <row r="1010">
          <cell r="J1010" t="str">
            <v/>
          </cell>
        </row>
        <row r="1011">
          <cell r="J1011" t="str">
            <v/>
          </cell>
        </row>
        <row r="1012">
          <cell r="J1012" t="str">
            <v>x</v>
          </cell>
        </row>
        <row r="1013">
          <cell r="J1013" t="str">
            <v>x</v>
          </cell>
        </row>
        <row r="1014">
          <cell r="J1014" t="str">
            <v>x</v>
          </cell>
        </row>
        <row r="1015">
          <cell r="J1015" t="str">
            <v>x</v>
          </cell>
        </row>
        <row r="1016">
          <cell r="J1016" t="str">
            <v>x</v>
          </cell>
        </row>
        <row r="1017">
          <cell r="J1017" t="str">
            <v>x</v>
          </cell>
        </row>
        <row r="1018">
          <cell r="J1018" t="str">
            <v>x</v>
          </cell>
        </row>
        <row r="1019">
          <cell r="J1019" t="str">
            <v>x</v>
          </cell>
        </row>
        <row r="1020">
          <cell r="J1020" t="str">
            <v>x</v>
          </cell>
        </row>
        <row r="1021">
          <cell r="J1021" t="str">
            <v/>
          </cell>
        </row>
        <row r="1022">
          <cell r="J1022" t="str">
            <v/>
          </cell>
        </row>
        <row r="1023">
          <cell r="J1023" t="str">
            <v/>
          </cell>
        </row>
        <row r="1024">
          <cell r="J1024" t="str">
            <v/>
          </cell>
        </row>
        <row r="1025">
          <cell r="J1025" t="str">
            <v/>
          </cell>
        </row>
        <row r="1026">
          <cell r="J1026" t="str">
            <v/>
          </cell>
        </row>
        <row r="1027">
          <cell r="J1027" t="str">
            <v/>
          </cell>
        </row>
        <row r="1028">
          <cell r="J1028" t="str">
            <v/>
          </cell>
        </row>
        <row r="1029">
          <cell r="J1029" t="str">
            <v/>
          </cell>
        </row>
        <row r="1030">
          <cell r="J1030" t="str">
            <v/>
          </cell>
        </row>
        <row r="1031">
          <cell r="J1031" t="str">
            <v/>
          </cell>
        </row>
        <row r="1032">
          <cell r="J1032" t="str">
            <v/>
          </cell>
        </row>
        <row r="1033">
          <cell r="J1033" t="str">
            <v/>
          </cell>
        </row>
        <row r="1034">
          <cell r="J1034" t="str">
            <v/>
          </cell>
        </row>
        <row r="1035">
          <cell r="J1035" t="str">
            <v/>
          </cell>
        </row>
        <row r="1036">
          <cell r="J1036" t="str">
            <v/>
          </cell>
        </row>
        <row r="1037">
          <cell r="J1037" t="str">
            <v/>
          </cell>
        </row>
        <row r="1038">
          <cell r="J1038" t="str">
            <v/>
          </cell>
        </row>
        <row r="1039">
          <cell r="J1039" t="str">
            <v/>
          </cell>
        </row>
        <row r="1040">
          <cell r="J1040" t="str">
            <v/>
          </cell>
        </row>
        <row r="1041">
          <cell r="J1041" t="str">
            <v/>
          </cell>
        </row>
        <row r="1042">
          <cell r="J1042" t="str">
            <v/>
          </cell>
        </row>
        <row r="1043">
          <cell r="J1043" t="str">
            <v/>
          </cell>
        </row>
        <row r="1044">
          <cell r="J1044" t="str">
            <v/>
          </cell>
        </row>
        <row r="1045">
          <cell r="J1045" t="str">
            <v/>
          </cell>
        </row>
        <row r="1046">
          <cell r="J1046" t="str">
            <v/>
          </cell>
        </row>
        <row r="1047">
          <cell r="J1047" t="str">
            <v/>
          </cell>
        </row>
        <row r="1048">
          <cell r="J1048" t="str">
            <v/>
          </cell>
        </row>
        <row r="1049">
          <cell r="J1049" t="str">
            <v/>
          </cell>
        </row>
        <row r="1050">
          <cell r="J1050" t="str">
            <v/>
          </cell>
        </row>
        <row r="1051">
          <cell r="J1051" t="str">
            <v/>
          </cell>
        </row>
        <row r="1052">
          <cell r="J1052" t="str">
            <v/>
          </cell>
        </row>
        <row r="1053">
          <cell r="J1053" t="str">
            <v/>
          </cell>
        </row>
        <row r="1054">
          <cell r="J1054" t="str">
            <v/>
          </cell>
        </row>
        <row r="1055">
          <cell r="J1055" t="str">
            <v/>
          </cell>
        </row>
        <row r="1056">
          <cell r="J1056" t="str">
            <v/>
          </cell>
        </row>
        <row r="1057">
          <cell r="J1057" t="str">
            <v/>
          </cell>
        </row>
        <row r="1058">
          <cell r="J1058" t="str">
            <v/>
          </cell>
        </row>
        <row r="1059">
          <cell r="J1059" t="str">
            <v/>
          </cell>
        </row>
        <row r="1060">
          <cell r="J1060" t="str">
            <v/>
          </cell>
        </row>
        <row r="1061">
          <cell r="J1061" t="str">
            <v/>
          </cell>
        </row>
        <row r="1062">
          <cell r="J1062" t="str">
            <v/>
          </cell>
        </row>
        <row r="1063">
          <cell r="J1063" t="str">
            <v/>
          </cell>
        </row>
        <row r="1064">
          <cell r="J1064" t="str">
            <v/>
          </cell>
        </row>
        <row r="1065">
          <cell r="J1065" t="str">
            <v/>
          </cell>
        </row>
        <row r="1066">
          <cell r="J1066" t="str">
            <v/>
          </cell>
        </row>
        <row r="1067">
          <cell r="J1067" t="str">
            <v/>
          </cell>
        </row>
        <row r="1068">
          <cell r="J1068" t="str">
            <v/>
          </cell>
        </row>
        <row r="1069">
          <cell r="J1069" t="str">
            <v/>
          </cell>
        </row>
        <row r="1070">
          <cell r="J1070" t="str">
            <v/>
          </cell>
        </row>
        <row r="1071">
          <cell r="J1071" t="str">
            <v/>
          </cell>
        </row>
        <row r="1072">
          <cell r="J1072" t="str">
            <v/>
          </cell>
        </row>
        <row r="1073">
          <cell r="J1073" t="str">
            <v/>
          </cell>
        </row>
        <row r="1074">
          <cell r="J1074" t="str">
            <v/>
          </cell>
        </row>
        <row r="1075">
          <cell r="J1075" t="str">
            <v/>
          </cell>
        </row>
        <row r="1076">
          <cell r="J1076" t="str">
            <v/>
          </cell>
        </row>
        <row r="1077">
          <cell r="J1077" t="str">
            <v/>
          </cell>
        </row>
        <row r="1078">
          <cell r="J1078" t="str">
            <v/>
          </cell>
        </row>
        <row r="1079">
          <cell r="J1079" t="str">
            <v/>
          </cell>
        </row>
        <row r="1080">
          <cell r="J1080" t="str">
            <v/>
          </cell>
        </row>
        <row r="1081">
          <cell r="J1081" t="str">
            <v/>
          </cell>
        </row>
        <row r="1082">
          <cell r="J1082" t="str">
            <v/>
          </cell>
        </row>
        <row r="1083">
          <cell r="J1083" t="str">
            <v/>
          </cell>
        </row>
        <row r="1084">
          <cell r="J1084" t="str">
            <v/>
          </cell>
        </row>
        <row r="1085">
          <cell r="J1085" t="str">
            <v/>
          </cell>
        </row>
        <row r="1086">
          <cell r="J1086" t="str">
            <v/>
          </cell>
        </row>
        <row r="1087">
          <cell r="J1087" t="str">
            <v/>
          </cell>
        </row>
        <row r="1088">
          <cell r="J1088" t="str">
            <v/>
          </cell>
        </row>
        <row r="1089">
          <cell r="J1089" t="str">
            <v/>
          </cell>
        </row>
        <row r="1090">
          <cell r="J1090" t="str">
            <v/>
          </cell>
        </row>
        <row r="1091">
          <cell r="J1091" t="str">
            <v/>
          </cell>
        </row>
        <row r="1092">
          <cell r="J1092" t="str">
            <v/>
          </cell>
        </row>
        <row r="1093">
          <cell r="J1093" t="str">
            <v/>
          </cell>
        </row>
        <row r="1094">
          <cell r="J1094" t="str">
            <v/>
          </cell>
        </row>
        <row r="1095">
          <cell r="J1095" t="str">
            <v/>
          </cell>
        </row>
        <row r="1096">
          <cell r="J1096" t="str">
            <v/>
          </cell>
        </row>
        <row r="1097">
          <cell r="J1097" t="str">
            <v/>
          </cell>
        </row>
        <row r="1098">
          <cell r="J1098" t="str">
            <v/>
          </cell>
        </row>
        <row r="1099">
          <cell r="J1099" t="str">
            <v/>
          </cell>
        </row>
        <row r="1100">
          <cell r="J1100" t="str">
            <v/>
          </cell>
        </row>
        <row r="1101">
          <cell r="J1101" t="str">
            <v/>
          </cell>
        </row>
        <row r="1102">
          <cell r="J1102" t="str">
            <v/>
          </cell>
        </row>
        <row r="1103">
          <cell r="J1103" t="str">
            <v/>
          </cell>
        </row>
        <row r="1104">
          <cell r="J1104" t="str">
            <v/>
          </cell>
        </row>
        <row r="1105">
          <cell r="J1105" t="str">
            <v/>
          </cell>
        </row>
        <row r="1106">
          <cell r="J1106" t="str">
            <v/>
          </cell>
        </row>
        <row r="1107">
          <cell r="J1107" t="str">
            <v/>
          </cell>
        </row>
        <row r="1108">
          <cell r="J1108" t="str">
            <v/>
          </cell>
        </row>
        <row r="1109">
          <cell r="J1109" t="str">
            <v/>
          </cell>
        </row>
        <row r="1110">
          <cell r="J1110" t="str">
            <v/>
          </cell>
        </row>
        <row r="1111">
          <cell r="J1111" t="str">
            <v/>
          </cell>
        </row>
        <row r="1112">
          <cell r="J1112" t="str">
            <v/>
          </cell>
        </row>
        <row r="1113">
          <cell r="J1113" t="str">
            <v/>
          </cell>
        </row>
        <row r="1114">
          <cell r="J1114" t="str">
            <v/>
          </cell>
        </row>
        <row r="1115">
          <cell r="J1115" t="str">
            <v/>
          </cell>
        </row>
        <row r="1116">
          <cell r="J1116" t="str">
            <v/>
          </cell>
        </row>
        <row r="1117">
          <cell r="J1117" t="str">
            <v/>
          </cell>
        </row>
        <row r="1118">
          <cell r="J1118" t="str">
            <v/>
          </cell>
        </row>
        <row r="1119">
          <cell r="J1119" t="str">
            <v/>
          </cell>
        </row>
        <row r="1120">
          <cell r="J1120" t="str">
            <v/>
          </cell>
        </row>
        <row r="1121">
          <cell r="J1121" t="str">
            <v/>
          </cell>
        </row>
        <row r="1122">
          <cell r="J1122" t="str">
            <v/>
          </cell>
        </row>
        <row r="1123">
          <cell r="J1123" t="str">
            <v/>
          </cell>
        </row>
        <row r="1124">
          <cell r="J1124" t="str">
            <v/>
          </cell>
        </row>
        <row r="1125">
          <cell r="J1125" t="str">
            <v/>
          </cell>
        </row>
        <row r="1126">
          <cell r="J1126" t="str">
            <v/>
          </cell>
        </row>
        <row r="1127">
          <cell r="J1127" t="str">
            <v/>
          </cell>
        </row>
        <row r="1128">
          <cell r="J1128" t="str">
            <v/>
          </cell>
        </row>
        <row r="1129">
          <cell r="J1129" t="str">
            <v/>
          </cell>
        </row>
        <row r="1130">
          <cell r="J1130" t="str">
            <v/>
          </cell>
        </row>
        <row r="1131">
          <cell r="J1131" t="str">
            <v/>
          </cell>
        </row>
        <row r="1132">
          <cell r="J1132" t="str">
            <v/>
          </cell>
        </row>
        <row r="1133">
          <cell r="J1133" t="str">
            <v/>
          </cell>
        </row>
        <row r="1134">
          <cell r="J1134" t="str">
            <v/>
          </cell>
        </row>
        <row r="1135">
          <cell r="J1135" t="str">
            <v/>
          </cell>
        </row>
        <row r="1136">
          <cell r="J1136" t="str">
            <v/>
          </cell>
        </row>
        <row r="1137">
          <cell r="J1137" t="str">
            <v/>
          </cell>
        </row>
        <row r="1138">
          <cell r="J1138" t="str">
            <v/>
          </cell>
        </row>
        <row r="1139">
          <cell r="J1139" t="str">
            <v/>
          </cell>
        </row>
        <row r="1140">
          <cell r="J1140" t="str">
            <v/>
          </cell>
        </row>
        <row r="1141">
          <cell r="J1141" t="str">
            <v/>
          </cell>
        </row>
        <row r="1142">
          <cell r="J1142" t="str">
            <v/>
          </cell>
        </row>
        <row r="1143">
          <cell r="J1143" t="str">
            <v/>
          </cell>
        </row>
        <row r="1144">
          <cell r="J1144" t="str">
            <v/>
          </cell>
        </row>
        <row r="1145">
          <cell r="J1145" t="str">
            <v/>
          </cell>
        </row>
        <row r="1146">
          <cell r="J1146" t="str">
            <v/>
          </cell>
        </row>
        <row r="1147">
          <cell r="J1147" t="str">
            <v/>
          </cell>
        </row>
        <row r="1148">
          <cell r="J1148" t="str">
            <v/>
          </cell>
        </row>
        <row r="1149">
          <cell r="J1149" t="str">
            <v/>
          </cell>
        </row>
        <row r="1150">
          <cell r="J1150" t="str">
            <v/>
          </cell>
        </row>
        <row r="1151">
          <cell r="J1151" t="str">
            <v/>
          </cell>
        </row>
        <row r="1152">
          <cell r="J1152" t="str">
            <v/>
          </cell>
        </row>
        <row r="1153">
          <cell r="J1153" t="str">
            <v/>
          </cell>
        </row>
        <row r="1154">
          <cell r="J1154" t="str">
            <v/>
          </cell>
        </row>
        <row r="1155">
          <cell r="J1155" t="str">
            <v/>
          </cell>
        </row>
        <row r="1156">
          <cell r="J1156" t="str">
            <v/>
          </cell>
        </row>
        <row r="1157">
          <cell r="J1157" t="str">
            <v/>
          </cell>
        </row>
        <row r="1158">
          <cell r="J1158" t="str">
            <v/>
          </cell>
        </row>
        <row r="1159">
          <cell r="J1159" t="str">
            <v/>
          </cell>
        </row>
        <row r="1160">
          <cell r="J1160" t="str">
            <v/>
          </cell>
        </row>
        <row r="1161">
          <cell r="J1161" t="str">
            <v/>
          </cell>
        </row>
        <row r="1162">
          <cell r="J1162" t="str">
            <v/>
          </cell>
        </row>
        <row r="1163">
          <cell r="J1163" t="str">
            <v/>
          </cell>
        </row>
        <row r="1164">
          <cell r="J1164" t="str">
            <v/>
          </cell>
        </row>
        <row r="1165">
          <cell r="J1165" t="str">
            <v/>
          </cell>
        </row>
        <row r="1166">
          <cell r="J1166" t="str">
            <v/>
          </cell>
        </row>
        <row r="1167">
          <cell r="J1167" t="str">
            <v/>
          </cell>
        </row>
        <row r="1168">
          <cell r="J1168" t="str">
            <v/>
          </cell>
        </row>
        <row r="1169">
          <cell r="J1169" t="str">
            <v/>
          </cell>
        </row>
        <row r="1170">
          <cell r="J1170" t="str">
            <v/>
          </cell>
        </row>
        <row r="1171">
          <cell r="J1171" t="str">
            <v/>
          </cell>
        </row>
        <row r="1172">
          <cell r="J1172" t="str">
            <v/>
          </cell>
        </row>
        <row r="1173">
          <cell r="J1173" t="str">
            <v/>
          </cell>
        </row>
        <row r="1174">
          <cell r="J1174" t="str">
            <v/>
          </cell>
        </row>
        <row r="1175">
          <cell r="J1175" t="str">
            <v/>
          </cell>
        </row>
        <row r="1176">
          <cell r="J1176" t="str">
            <v/>
          </cell>
        </row>
        <row r="1177">
          <cell r="J1177" t="str">
            <v/>
          </cell>
        </row>
        <row r="1178">
          <cell r="J1178" t="str">
            <v/>
          </cell>
        </row>
        <row r="1179">
          <cell r="J1179" t="str">
            <v/>
          </cell>
        </row>
        <row r="1180">
          <cell r="J1180" t="str">
            <v/>
          </cell>
        </row>
        <row r="1181">
          <cell r="J1181" t="str">
            <v/>
          </cell>
        </row>
        <row r="1182">
          <cell r="J1182" t="str">
            <v/>
          </cell>
        </row>
        <row r="1183">
          <cell r="J1183" t="str">
            <v/>
          </cell>
        </row>
        <row r="1184">
          <cell r="J1184" t="str">
            <v/>
          </cell>
        </row>
        <row r="1185">
          <cell r="J1185" t="str">
            <v/>
          </cell>
        </row>
        <row r="1186">
          <cell r="J1186" t="str">
            <v/>
          </cell>
        </row>
        <row r="1187">
          <cell r="J1187" t="str">
            <v/>
          </cell>
        </row>
        <row r="1188">
          <cell r="J1188" t="str">
            <v/>
          </cell>
        </row>
        <row r="1189">
          <cell r="J1189" t="str">
            <v/>
          </cell>
        </row>
        <row r="1190">
          <cell r="J1190" t="str">
            <v/>
          </cell>
        </row>
        <row r="1191">
          <cell r="J1191" t="str">
            <v/>
          </cell>
        </row>
        <row r="1192">
          <cell r="J1192" t="str">
            <v/>
          </cell>
        </row>
        <row r="1193">
          <cell r="J1193" t="str">
            <v/>
          </cell>
        </row>
        <row r="1194">
          <cell r="J1194" t="str">
            <v/>
          </cell>
        </row>
        <row r="1195">
          <cell r="J1195" t="str">
            <v/>
          </cell>
        </row>
        <row r="1196">
          <cell r="J1196" t="str">
            <v/>
          </cell>
        </row>
        <row r="1197">
          <cell r="J1197" t="str">
            <v/>
          </cell>
        </row>
        <row r="1198">
          <cell r="J1198" t="str">
            <v/>
          </cell>
        </row>
        <row r="1199">
          <cell r="J1199" t="str">
            <v/>
          </cell>
        </row>
        <row r="1200">
          <cell r="J1200" t="str">
            <v/>
          </cell>
        </row>
        <row r="1201">
          <cell r="J1201" t="str">
            <v/>
          </cell>
        </row>
        <row r="1202">
          <cell r="J1202" t="str">
            <v/>
          </cell>
        </row>
        <row r="1203">
          <cell r="J1203" t="str">
            <v/>
          </cell>
        </row>
        <row r="1204">
          <cell r="J1204" t="str">
            <v/>
          </cell>
        </row>
        <row r="1205">
          <cell r="J1205" t="str">
            <v/>
          </cell>
        </row>
        <row r="1206">
          <cell r="J1206" t="str">
            <v/>
          </cell>
        </row>
        <row r="1207">
          <cell r="J1207" t="str">
            <v/>
          </cell>
        </row>
        <row r="1208">
          <cell r="J1208" t="str">
            <v/>
          </cell>
        </row>
        <row r="1209">
          <cell r="J1209" t="str">
            <v/>
          </cell>
        </row>
        <row r="1210">
          <cell r="J1210" t="str">
            <v/>
          </cell>
        </row>
        <row r="1211">
          <cell r="J1211" t="str">
            <v/>
          </cell>
        </row>
        <row r="1212">
          <cell r="J1212" t="str">
            <v/>
          </cell>
        </row>
        <row r="1213">
          <cell r="J1213" t="str">
            <v/>
          </cell>
        </row>
        <row r="1214">
          <cell r="J1214" t="str">
            <v/>
          </cell>
        </row>
        <row r="1215">
          <cell r="J1215" t="str">
            <v/>
          </cell>
        </row>
        <row r="1216">
          <cell r="J1216" t="str">
            <v/>
          </cell>
        </row>
        <row r="1217">
          <cell r="J1217" t="str">
            <v/>
          </cell>
        </row>
        <row r="1218">
          <cell r="J1218" t="str">
            <v/>
          </cell>
        </row>
        <row r="1219">
          <cell r="J1219" t="str">
            <v/>
          </cell>
        </row>
        <row r="1220">
          <cell r="J1220" t="str">
            <v/>
          </cell>
        </row>
        <row r="1221">
          <cell r="J1221" t="str">
            <v/>
          </cell>
        </row>
        <row r="1222">
          <cell r="J1222" t="str">
            <v/>
          </cell>
        </row>
        <row r="1223">
          <cell r="J1223" t="str">
            <v/>
          </cell>
        </row>
        <row r="1224">
          <cell r="J1224" t="str">
            <v/>
          </cell>
        </row>
        <row r="1225">
          <cell r="J1225" t="str">
            <v/>
          </cell>
        </row>
        <row r="1226">
          <cell r="J1226" t="str">
            <v/>
          </cell>
        </row>
        <row r="1227">
          <cell r="J1227" t="str">
            <v/>
          </cell>
        </row>
        <row r="1228">
          <cell r="J1228" t="str">
            <v/>
          </cell>
        </row>
        <row r="1229">
          <cell r="J1229" t="str">
            <v/>
          </cell>
        </row>
        <row r="1230">
          <cell r="J1230" t="str">
            <v/>
          </cell>
        </row>
        <row r="1231">
          <cell r="J1231" t="str">
            <v/>
          </cell>
        </row>
        <row r="1232">
          <cell r="J1232" t="str">
            <v/>
          </cell>
        </row>
        <row r="1233">
          <cell r="J1233" t="str">
            <v/>
          </cell>
        </row>
        <row r="1234">
          <cell r="J1234" t="str">
            <v/>
          </cell>
        </row>
        <row r="1235">
          <cell r="J1235" t="str">
            <v/>
          </cell>
        </row>
        <row r="1236">
          <cell r="J1236" t="str">
            <v/>
          </cell>
        </row>
        <row r="1237">
          <cell r="J1237" t="str">
            <v/>
          </cell>
        </row>
        <row r="1238">
          <cell r="J1238" t="str">
            <v/>
          </cell>
        </row>
        <row r="1239">
          <cell r="J1239" t="str">
            <v/>
          </cell>
        </row>
        <row r="1240">
          <cell r="J1240" t="str">
            <v/>
          </cell>
        </row>
        <row r="1241">
          <cell r="J1241" t="str">
            <v/>
          </cell>
        </row>
        <row r="1242">
          <cell r="J1242" t="str">
            <v/>
          </cell>
        </row>
        <row r="1243">
          <cell r="J1243" t="str">
            <v/>
          </cell>
        </row>
        <row r="1244">
          <cell r="J1244" t="str">
            <v/>
          </cell>
        </row>
        <row r="1245">
          <cell r="J1245" t="str">
            <v/>
          </cell>
        </row>
        <row r="1246">
          <cell r="J1246" t="str">
            <v/>
          </cell>
        </row>
        <row r="1247">
          <cell r="J1247" t="str">
            <v/>
          </cell>
        </row>
        <row r="1248">
          <cell r="J1248" t="str">
            <v/>
          </cell>
        </row>
        <row r="1249">
          <cell r="J1249" t="str">
            <v/>
          </cell>
        </row>
        <row r="1250">
          <cell r="J1250" t="str">
            <v/>
          </cell>
        </row>
        <row r="1251">
          <cell r="J1251" t="str">
            <v/>
          </cell>
        </row>
        <row r="1252">
          <cell r="J1252" t="str">
            <v/>
          </cell>
        </row>
        <row r="1253">
          <cell r="J1253" t="str">
            <v/>
          </cell>
        </row>
        <row r="1254">
          <cell r="J1254" t="str">
            <v/>
          </cell>
        </row>
        <row r="1255">
          <cell r="J1255" t="str">
            <v/>
          </cell>
        </row>
        <row r="1256">
          <cell r="J1256" t="str">
            <v/>
          </cell>
        </row>
        <row r="1257">
          <cell r="J1257" t="str">
            <v/>
          </cell>
        </row>
        <row r="1258">
          <cell r="J1258" t="str">
            <v/>
          </cell>
        </row>
        <row r="1259">
          <cell r="J1259" t="str">
            <v/>
          </cell>
        </row>
        <row r="1260">
          <cell r="J1260" t="str">
            <v/>
          </cell>
        </row>
        <row r="1261">
          <cell r="J1261" t="str">
            <v/>
          </cell>
        </row>
        <row r="1262">
          <cell r="J1262" t="str">
            <v/>
          </cell>
        </row>
        <row r="1263">
          <cell r="J1263" t="str">
            <v/>
          </cell>
        </row>
        <row r="1264">
          <cell r="J1264" t="str">
            <v/>
          </cell>
        </row>
        <row r="1265">
          <cell r="J1265" t="str">
            <v/>
          </cell>
        </row>
        <row r="1266">
          <cell r="J1266" t="str">
            <v/>
          </cell>
        </row>
        <row r="1267">
          <cell r="J1267" t="str">
            <v/>
          </cell>
        </row>
        <row r="1268">
          <cell r="J1268" t="str">
            <v/>
          </cell>
        </row>
        <row r="1269">
          <cell r="J1269" t="str">
            <v/>
          </cell>
        </row>
        <row r="1270">
          <cell r="J1270" t="str">
            <v/>
          </cell>
        </row>
        <row r="1271">
          <cell r="J1271" t="str">
            <v/>
          </cell>
        </row>
        <row r="1272">
          <cell r="J1272" t="str">
            <v/>
          </cell>
        </row>
        <row r="1273">
          <cell r="J1273" t="str">
            <v/>
          </cell>
        </row>
        <row r="1274">
          <cell r="J1274" t="str">
            <v/>
          </cell>
        </row>
        <row r="1275">
          <cell r="J1275" t="str">
            <v/>
          </cell>
        </row>
        <row r="1276">
          <cell r="J1276" t="str">
            <v/>
          </cell>
        </row>
        <row r="1277">
          <cell r="J1277" t="str">
            <v/>
          </cell>
        </row>
        <row r="1278">
          <cell r="J1278" t="str">
            <v/>
          </cell>
        </row>
        <row r="1279">
          <cell r="J1279" t="str">
            <v/>
          </cell>
        </row>
        <row r="1280">
          <cell r="J1280" t="str">
            <v/>
          </cell>
        </row>
        <row r="1281">
          <cell r="J1281" t="str">
            <v/>
          </cell>
        </row>
        <row r="1282">
          <cell r="J1282" t="str">
            <v/>
          </cell>
        </row>
        <row r="1283">
          <cell r="J1283" t="str">
            <v/>
          </cell>
        </row>
        <row r="1284">
          <cell r="J1284" t="str">
            <v/>
          </cell>
        </row>
        <row r="1285">
          <cell r="J1285" t="str">
            <v>x</v>
          </cell>
        </row>
        <row r="1286">
          <cell r="J1286" t="str">
            <v>x</v>
          </cell>
        </row>
        <row r="1287">
          <cell r="J1287" t="str">
            <v>x</v>
          </cell>
        </row>
        <row r="1288">
          <cell r="J1288" t="str">
            <v>x</v>
          </cell>
        </row>
        <row r="1289">
          <cell r="J1289" t="str">
            <v>x</v>
          </cell>
        </row>
        <row r="1290">
          <cell r="J1290" t="str">
            <v>x</v>
          </cell>
        </row>
        <row r="1291">
          <cell r="J1291" t="str">
            <v>x</v>
          </cell>
        </row>
        <row r="1292">
          <cell r="J1292" t="str">
            <v>x</v>
          </cell>
        </row>
        <row r="1293">
          <cell r="J1293" t="str">
            <v>x</v>
          </cell>
        </row>
        <row r="1294">
          <cell r="J1294" t="str">
            <v/>
          </cell>
        </row>
        <row r="1295">
          <cell r="J1295" t="str">
            <v/>
          </cell>
        </row>
        <row r="1296">
          <cell r="J1296" t="str">
            <v/>
          </cell>
        </row>
        <row r="1297">
          <cell r="J1297" t="str">
            <v/>
          </cell>
        </row>
        <row r="1298">
          <cell r="J1298" t="str">
            <v/>
          </cell>
        </row>
        <row r="1299">
          <cell r="J1299" t="str">
            <v/>
          </cell>
        </row>
        <row r="1300">
          <cell r="J1300" t="str">
            <v/>
          </cell>
        </row>
        <row r="1301">
          <cell r="J1301" t="str">
            <v/>
          </cell>
        </row>
        <row r="1302">
          <cell r="J1302" t="str">
            <v/>
          </cell>
        </row>
        <row r="1303">
          <cell r="J1303" t="str">
            <v/>
          </cell>
        </row>
        <row r="1304">
          <cell r="J1304" t="str">
            <v/>
          </cell>
        </row>
        <row r="1305">
          <cell r="J1305" t="str">
            <v/>
          </cell>
        </row>
        <row r="1306">
          <cell r="J1306" t="str">
            <v/>
          </cell>
        </row>
        <row r="1307">
          <cell r="J1307" t="str">
            <v/>
          </cell>
        </row>
        <row r="1308">
          <cell r="J1308" t="str">
            <v/>
          </cell>
        </row>
        <row r="1309">
          <cell r="J1309" t="str">
            <v/>
          </cell>
        </row>
        <row r="1310">
          <cell r="J1310" t="str">
            <v/>
          </cell>
        </row>
        <row r="1311">
          <cell r="J1311" t="str">
            <v/>
          </cell>
        </row>
        <row r="1312">
          <cell r="J1312" t="str">
            <v/>
          </cell>
        </row>
        <row r="1313">
          <cell r="J1313" t="str">
            <v/>
          </cell>
        </row>
        <row r="1314">
          <cell r="J1314" t="str">
            <v/>
          </cell>
        </row>
        <row r="1315">
          <cell r="J1315" t="str">
            <v/>
          </cell>
        </row>
        <row r="1316">
          <cell r="J1316" t="str">
            <v/>
          </cell>
        </row>
        <row r="1317">
          <cell r="J1317" t="str">
            <v/>
          </cell>
        </row>
        <row r="1318">
          <cell r="J1318" t="str">
            <v/>
          </cell>
        </row>
        <row r="1319">
          <cell r="J1319" t="str">
            <v/>
          </cell>
        </row>
        <row r="1320">
          <cell r="J1320" t="str">
            <v/>
          </cell>
        </row>
        <row r="1321">
          <cell r="J1321" t="str">
            <v/>
          </cell>
        </row>
        <row r="1322">
          <cell r="J1322" t="str">
            <v/>
          </cell>
        </row>
        <row r="1323">
          <cell r="J1323" t="str">
            <v/>
          </cell>
        </row>
        <row r="1324">
          <cell r="J1324" t="str">
            <v/>
          </cell>
        </row>
        <row r="1325">
          <cell r="J1325" t="str">
            <v/>
          </cell>
        </row>
        <row r="1326">
          <cell r="J1326" t="str">
            <v/>
          </cell>
        </row>
        <row r="1327">
          <cell r="J1327" t="str">
            <v/>
          </cell>
        </row>
        <row r="1328">
          <cell r="J1328" t="str">
            <v/>
          </cell>
        </row>
        <row r="1329">
          <cell r="J1329" t="str">
            <v/>
          </cell>
        </row>
        <row r="1330">
          <cell r="J1330" t="str">
            <v/>
          </cell>
        </row>
        <row r="1331">
          <cell r="J1331" t="str">
            <v/>
          </cell>
        </row>
        <row r="1332">
          <cell r="J1332" t="str">
            <v/>
          </cell>
        </row>
        <row r="1333">
          <cell r="J1333" t="str">
            <v/>
          </cell>
        </row>
        <row r="1334">
          <cell r="J1334" t="str">
            <v/>
          </cell>
        </row>
        <row r="1335">
          <cell r="J1335" t="str">
            <v/>
          </cell>
        </row>
        <row r="1336">
          <cell r="J1336" t="str">
            <v/>
          </cell>
        </row>
        <row r="1337">
          <cell r="J1337" t="str">
            <v/>
          </cell>
        </row>
        <row r="1338">
          <cell r="J1338" t="str">
            <v/>
          </cell>
        </row>
        <row r="1339">
          <cell r="J1339" t="str">
            <v/>
          </cell>
        </row>
        <row r="1340">
          <cell r="J1340" t="str">
            <v/>
          </cell>
        </row>
        <row r="1341">
          <cell r="J1341" t="str">
            <v/>
          </cell>
        </row>
        <row r="1342">
          <cell r="J1342" t="str">
            <v/>
          </cell>
        </row>
        <row r="1343">
          <cell r="J1343" t="str">
            <v/>
          </cell>
        </row>
        <row r="1344">
          <cell r="J1344" t="str">
            <v/>
          </cell>
        </row>
        <row r="1345">
          <cell r="J1345" t="str">
            <v/>
          </cell>
        </row>
        <row r="1346">
          <cell r="J1346" t="str">
            <v/>
          </cell>
        </row>
        <row r="1347">
          <cell r="J1347" t="str">
            <v/>
          </cell>
        </row>
        <row r="1348">
          <cell r="J1348" t="str">
            <v/>
          </cell>
        </row>
        <row r="1349">
          <cell r="J1349" t="str">
            <v/>
          </cell>
        </row>
        <row r="1350">
          <cell r="J1350" t="str">
            <v/>
          </cell>
        </row>
        <row r="1351">
          <cell r="J1351" t="str">
            <v/>
          </cell>
        </row>
        <row r="1352">
          <cell r="J1352" t="str">
            <v/>
          </cell>
        </row>
        <row r="1353">
          <cell r="J1353" t="str">
            <v/>
          </cell>
        </row>
        <row r="1354">
          <cell r="J1354" t="str">
            <v/>
          </cell>
        </row>
        <row r="1355">
          <cell r="J1355" t="str">
            <v/>
          </cell>
        </row>
        <row r="1356">
          <cell r="J1356" t="str">
            <v/>
          </cell>
        </row>
        <row r="1357">
          <cell r="J1357" t="str">
            <v/>
          </cell>
        </row>
        <row r="1358">
          <cell r="J1358" t="str">
            <v/>
          </cell>
        </row>
        <row r="1359">
          <cell r="J1359" t="str">
            <v/>
          </cell>
        </row>
        <row r="1360">
          <cell r="J1360" t="str">
            <v/>
          </cell>
        </row>
        <row r="1361">
          <cell r="J1361" t="str">
            <v/>
          </cell>
        </row>
        <row r="1362">
          <cell r="J1362" t="str">
            <v/>
          </cell>
        </row>
        <row r="1363">
          <cell r="J1363" t="str">
            <v/>
          </cell>
        </row>
        <row r="1364">
          <cell r="J1364" t="str">
            <v/>
          </cell>
        </row>
        <row r="1365">
          <cell r="J1365" t="str">
            <v/>
          </cell>
        </row>
        <row r="1366">
          <cell r="J1366" t="str">
            <v/>
          </cell>
        </row>
        <row r="1367">
          <cell r="J1367" t="str">
            <v/>
          </cell>
        </row>
        <row r="1368">
          <cell r="J1368" t="str">
            <v/>
          </cell>
        </row>
        <row r="1369">
          <cell r="J1369" t="str">
            <v/>
          </cell>
        </row>
        <row r="1370">
          <cell r="J1370" t="str">
            <v/>
          </cell>
        </row>
        <row r="1371">
          <cell r="J1371" t="str">
            <v/>
          </cell>
        </row>
        <row r="1372">
          <cell r="J1372" t="str">
            <v/>
          </cell>
        </row>
        <row r="1373">
          <cell r="J1373" t="str">
            <v/>
          </cell>
        </row>
        <row r="1374">
          <cell r="J1374" t="str">
            <v/>
          </cell>
        </row>
        <row r="1375">
          <cell r="J1375" t="str">
            <v/>
          </cell>
        </row>
        <row r="1376">
          <cell r="J1376" t="str">
            <v/>
          </cell>
        </row>
        <row r="1377">
          <cell r="J1377" t="str">
            <v/>
          </cell>
        </row>
        <row r="1378">
          <cell r="J1378" t="str">
            <v/>
          </cell>
        </row>
        <row r="1379">
          <cell r="J1379" t="str">
            <v/>
          </cell>
        </row>
        <row r="1380">
          <cell r="J1380" t="str">
            <v/>
          </cell>
        </row>
        <row r="1381">
          <cell r="J1381" t="str">
            <v/>
          </cell>
        </row>
        <row r="1382">
          <cell r="J1382" t="str">
            <v/>
          </cell>
        </row>
        <row r="1383">
          <cell r="J1383" t="str">
            <v/>
          </cell>
        </row>
        <row r="1384">
          <cell r="J1384" t="str">
            <v/>
          </cell>
        </row>
        <row r="1385">
          <cell r="J1385" t="str">
            <v/>
          </cell>
        </row>
        <row r="1386">
          <cell r="J1386" t="str">
            <v/>
          </cell>
        </row>
        <row r="1387">
          <cell r="J1387" t="str">
            <v/>
          </cell>
        </row>
        <row r="1388">
          <cell r="J1388" t="str">
            <v/>
          </cell>
        </row>
        <row r="1389">
          <cell r="J1389" t="str">
            <v/>
          </cell>
        </row>
        <row r="1390">
          <cell r="J1390" t="str">
            <v/>
          </cell>
        </row>
        <row r="1391">
          <cell r="J1391" t="str">
            <v/>
          </cell>
        </row>
        <row r="1392">
          <cell r="J1392" t="str">
            <v/>
          </cell>
        </row>
        <row r="1393">
          <cell r="J1393" t="str">
            <v/>
          </cell>
        </row>
        <row r="1394">
          <cell r="J1394" t="str">
            <v/>
          </cell>
        </row>
        <row r="1395">
          <cell r="J1395" t="str">
            <v/>
          </cell>
        </row>
        <row r="1396">
          <cell r="J1396" t="str">
            <v/>
          </cell>
        </row>
        <row r="1397">
          <cell r="J1397" t="str">
            <v/>
          </cell>
        </row>
        <row r="1398">
          <cell r="J1398" t="str">
            <v/>
          </cell>
        </row>
        <row r="1399">
          <cell r="J1399" t="str">
            <v/>
          </cell>
        </row>
        <row r="1400">
          <cell r="J1400" t="str">
            <v/>
          </cell>
        </row>
        <row r="1401">
          <cell r="J1401" t="str">
            <v/>
          </cell>
        </row>
        <row r="1402">
          <cell r="J1402" t="str">
            <v/>
          </cell>
        </row>
        <row r="1403">
          <cell r="J1403" t="str">
            <v/>
          </cell>
        </row>
        <row r="1404">
          <cell r="J1404" t="str">
            <v/>
          </cell>
        </row>
        <row r="1405">
          <cell r="J1405" t="str">
            <v/>
          </cell>
        </row>
        <row r="1406">
          <cell r="J1406" t="str">
            <v/>
          </cell>
        </row>
        <row r="1407">
          <cell r="J1407" t="str">
            <v/>
          </cell>
        </row>
        <row r="1408">
          <cell r="J1408" t="str">
            <v/>
          </cell>
        </row>
        <row r="1409">
          <cell r="J1409" t="str">
            <v/>
          </cell>
        </row>
        <row r="1410">
          <cell r="J1410" t="str">
            <v/>
          </cell>
        </row>
        <row r="1411">
          <cell r="J1411" t="str">
            <v/>
          </cell>
        </row>
        <row r="1412">
          <cell r="J1412" t="str">
            <v/>
          </cell>
        </row>
        <row r="1413">
          <cell r="J1413" t="str">
            <v/>
          </cell>
        </row>
        <row r="1414">
          <cell r="J1414" t="str">
            <v/>
          </cell>
        </row>
        <row r="1415">
          <cell r="J1415" t="str">
            <v/>
          </cell>
        </row>
        <row r="1416">
          <cell r="J1416" t="str">
            <v/>
          </cell>
        </row>
        <row r="1417">
          <cell r="J1417" t="str">
            <v/>
          </cell>
        </row>
        <row r="1418">
          <cell r="J1418" t="str">
            <v/>
          </cell>
        </row>
        <row r="1419">
          <cell r="J1419" t="str">
            <v/>
          </cell>
        </row>
        <row r="1420">
          <cell r="J1420" t="str">
            <v/>
          </cell>
        </row>
        <row r="1421">
          <cell r="J1421" t="str">
            <v/>
          </cell>
        </row>
        <row r="1422">
          <cell r="J1422" t="str">
            <v/>
          </cell>
        </row>
        <row r="1423">
          <cell r="J1423" t="str">
            <v/>
          </cell>
        </row>
        <row r="1424">
          <cell r="J1424" t="str">
            <v/>
          </cell>
        </row>
        <row r="1425">
          <cell r="J1425" t="str">
            <v/>
          </cell>
        </row>
        <row r="1426">
          <cell r="J1426" t="str">
            <v/>
          </cell>
        </row>
        <row r="1427">
          <cell r="J1427" t="str">
            <v/>
          </cell>
        </row>
        <row r="1428">
          <cell r="J1428" t="str">
            <v/>
          </cell>
        </row>
        <row r="1429">
          <cell r="J1429" t="str">
            <v/>
          </cell>
        </row>
        <row r="1430">
          <cell r="J1430" t="str">
            <v/>
          </cell>
        </row>
        <row r="1431">
          <cell r="J1431" t="str">
            <v/>
          </cell>
        </row>
        <row r="1432">
          <cell r="J1432" t="str">
            <v/>
          </cell>
        </row>
        <row r="1433">
          <cell r="J1433" t="str">
            <v/>
          </cell>
        </row>
        <row r="1434">
          <cell r="J1434" t="str">
            <v/>
          </cell>
        </row>
        <row r="1435">
          <cell r="J1435" t="str">
            <v/>
          </cell>
        </row>
        <row r="1436">
          <cell r="J1436" t="str">
            <v/>
          </cell>
        </row>
        <row r="1437">
          <cell r="J1437" t="str">
            <v/>
          </cell>
        </row>
        <row r="1438">
          <cell r="J1438" t="str">
            <v/>
          </cell>
        </row>
        <row r="1439">
          <cell r="J1439" t="str">
            <v/>
          </cell>
        </row>
        <row r="1440">
          <cell r="J1440" t="str">
            <v/>
          </cell>
        </row>
        <row r="1441">
          <cell r="J1441" t="str">
            <v/>
          </cell>
        </row>
        <row r="1442">
          <cell r="J1442" t="str">
            <v/>
          </cell>
        </row>
        <row r="1443">
          <cell r="J1443" t="str">
            <v/>
          </cell>
        </row>
        <row r="1444">
          <cell r="J1444" t="str">
            <v/>
          </cell>
        </row>
        <row r="1445">
          <cell r="J1445" t="str">
            <v/>
          </cell>
        </row>
        <row r="1446">
          <cell r="J1446" t="str">
            <v/>
          </cell>
        </row>
        <row r="1447">
          <cell r="J1447" t="str">
            <v/>
          </cell>
        </row>
        <row r="1448">
          <cell r="J1448" t="str">
            <v/>
          </cell>
        </row>
        <row r="1449">
          <cell r="J1449" t="str">
            <v/>
          </cell>
        </row>
        <row r="1450">
          <cell r="J1450" t="str">
            <v/>
          </cell>
        </row>
        <row r="1451">
          <cell r="J1451" t="str">
            <v/>
          </cell>
        </row>
        <row r="1452">
          <cell r="J1452" t="str">
            <v/>
          </cell>
        </row>
        <row r="1453">
          <cell r="J1453" t="str">
            <v/>
          </cell>
        </row>
        <row r="1454">
          <cell r="J1454" t="str">
            <v/>
          </cell>
        </row>
        <row r="1455">
          <cell r="J1455" t="str">
            <v/>
          </cell>
        </row>
        <row r="1456">
          <cell r="J1456" t="str">
            <v/>
          </cell>
        </row>
        <row r="1457">
          <cell r="J1457" t="str">
            <v/>
          </cell>
        </row>
        <row r="1458">
          <cell r="J1458" t="str">
            <v/>
          </cell>
        </row>
        <row r="1459">
          <cell r="J1459" t="str">
            <v/>
          </cell>
        </row>
        <row r="1460">
          <cell r="J1460" t="str">
            <v/>
          </cell>
        </row>
        <row r="1461">
          <cell r="J1461" t="str">
            <v/>
          </cell>
        </row>
        <row r="1462">
          <cell r="J1462" t="str">
            <v/>
          </cell>
        </row>
        <row r="1463">
          <cell r="J1463" t="str">
            <v/>
          </cell>
        </row>
        <row r="1464">
          <cell r="J1464" t="str">
            <v/>
          </cell>
        </row>
        <row r="1465">
          <cell r="J1465" t="str">
            <v/>
          </cell>
        </row>
        <row r="1466">
          <cell r="J1466" t="str">
            <v/>
          </cell>
        </row>
        <row r="1467">
          <cell r="J1467" t="str">
            <v/>
          </cell>
        </row>
        <row r="1468">
          <cell r="J1468" t="str">
            <v/>
          </cell>
        </row>
        <row r="1469">
          <cell r="J1469" t="str">
            <v/>
          </cell>
        </row>
        <row r="1470">
          <cell r="J1470" t="str">
            <v/>
          </cell>
        </row>
        <row r="1471">
          <cell r="J1471" t="str">
            <v/>
          </cell>
        </row>
        <row r="1472">
          <cell r="J1472" t="str">
            <v/>
          </cell>
        </row>
        <row r="1473">
          <cell r="J1473" t="str">
            <v/>
          </cell>
        </row>
        <row r="1474">
          <cell r="J1474" t="str">
            <v/>
          </cell>
        </row>
        <row r="1475">
          <cell r="J1475" t="str">
            <v/>
          </cell>
        </row>
        <row r="1476">
          <cell r="J1476" t="str">
            <v/>
          </cell>
        </row>
        <row r="1477">
          <cell r="J1477" t="str">
            <v/>
          </cell>
        </row>
        <row r="1478">
          <cell r="J1478" t="str">
            <v/>
          </cell>
        </row>
        <row r="1479">
          <cell r="J1479" t="str">
            <v/>
          </cell>
        </row>
        <row r="1480">
          <cell r="J1480" t="str">
            <v/>
          </cell>
        </row>
        <row r="1481">
          <cell r="J1481" t="str">
            <v/>
          </cell>
        </row>
        <row r="1482">
          <cell r="J1482" t="str">
            <v/>
          </cell>
        </row>
        <row r="1483">
          <cell r="J1483" t="str">
            <v/>
          </cell>
        </row>
        <row r="1484">
          <cell r="J1484" t="str">
            <v/>
          </cell>
        </row>
        <row r="1485">
          <cell r="J1485" t="str">
            <v/>
          </cell>
        </row>
        <row r="1486">
          <cell r="J1486" t="str">
            <v/>
          </cell>
        </row>
        <row r="1487">
          <cell r="J1487" t="str">
            <v/>
          </cell>
        </row>
        <row r="1488">
          <cell r="J1488" t="str">
            <v/>
          </cell>
        </row>
        <row r="1489">
          <cell r="J1489" t="str">
            <v/>
          </cell>
        </row>
        <row r="1490">
          <cell r="J1490" t="str">
            <v/>
          </cell>
        </row>
        <row r="1491">
          <cell r="J1491" t="str">
            <v/>
          </cell>
        </row>
        <row r="1492">
          <cell r="J1492" t="str">
            <v/>
          </cell>
        </row>
        <row r="1493">
          <cell r="J1493" t="str">
            <v/>
          </cell>
        </row>
        <row r="1494">
          <cell r="J1494" t="str">
            <v/>
          </cell>
        </row>
        <row r="1495">
          <cell r="J1495" t="str">
            <v/>
          </cell>
        </row>
        <row r="1496">
          <cell r="J1496" t="str">
            <v/>
          </cell>
        </row>
        <row r="1497">
          <cell r="J1497" t="str">
            <v/>
          </cell>
        </row>
        <row r="1498">
          <cell r="J1498" t="str">
            <v/>
          </cell>
        </row>
        <row r="1499">
          <cell r="J1499" t="str">
            <v/>
          </cell>
        </row>
        <row r="1500">
          <cell r="J1500" t="str">
            <v/>
          </cell>
        </row>
        <row r="1501">
          <cell r="J1501" t="str">
            <v/>
          </cell>
        </row>
        <row r="1502">
          <cell r="J1502" t="str">
            <v/>
          </cell>
        </row>
        <row r="1503">
          <cell r="J1503" t="str">
            <v/>
          </cell>
        </row>
        <row r="1504">
          <cell r="J1504" t="str">
            <v/>
          </cell>
        </row>
        <row r="1505">
          <cell r="J1505" t="str">
            <v/>
          </cell>
        </row>
        <row r="1506">
          <cell r="J1506" t="str">
            <v/>
          </cell>
        </row>
        <row r="1507">
          <cell r="J1507" t="str">
            <v/>
          </cell>
        </row>
        <row r="1508">
          <cell r="J1508" t="str">
            <v/>
          </cell>
        </row>
        <row r="1509">
          <cell r="J1509" t="str">
            <v/>
          </cell>
        </row>
        <row r="1510">
          <cell r="J1510" t="str">
            <v/>
          </cell>
        </row>
        <row r="1511">
          <cell r="J1511" t="str">
            <v/>
          </cell>
        </row>
        <row r="1512">
          <cell r="J1512" t="str">
            <v/>
          </cell>
        </row>
        <row r="1513">
          <cell r="J1513" t="str">
            <v/>
          </cell>
        </row>
        <row r="1514">
          <cell r="J1514" t="str">
            <v/>
          </cell>
        </row>
        <row r="1515">
          <cell r="J1515" t="str">
            <v/>
          </cell>
        </row>
        <row r="1516">
          <cell r="J1516" t="str">
            <v/>
          </cell>
        </row>
        <row r="1517">
          <cell r="J1517" t="str">
            <v/>
          </cell>
        </row>
        <row r="1518">
          <cell r="J1518" t="str">
            <v/>
          </cell>
        </row>
        <row r="1519">
          <cell r="J1519" t="str">
            <v/>
          </cell>
        </row>
        <row r="1520">
          <cell r="J1520" t="str">
            <v/>
          </cell>
        </row>
        <row r="1521">
          <cell r="J1521" t="str">
            <v/>
          </cell>
        </row>
        <row r="1522">
          <cell r="J1522" t="str">
            <v/>
          </cell>
        </row>
        <row r="1523">
          <cell r="J1523" t="str">
            <v/>
          </cell>
        </row>
        <row r="1524">
          <cell r="J1524" t="str">
            <v/>
          </cell>
        </row>
        <row r="1525">
          <cell r="J1525" t="str">
            <v/>
          </cell>
        </row>
        <row r="1526">
          <cell r="J1526" t="str">
            <v/>
          </cell>
        </row>
        <row r="1527">
          <cell r="J1527" t="str">
            <v/>
          </cell>
        </row>
        <row r="1528">
          <cell r="J1528" t="str">
            <v/>
          </cell>
        </row>
        <row r="1529">
          <cell r="J1529" t="str">
            <v/>
          </cell>
        </row>
        <row r="1530">
          <cell r="J1530" t="str">
            <v/>
          </cell>
        </row>
        <row r="1531">
          <cell r="J1531" t="str">
            <v/>
          </cell>
        </row>
        <row r="1532">
          <cell r="J1532" t="str">
            <v/>
          </cell>
        </row>
        <row r="1533">
          <cell r="J1533" t="str">
            <v/>
          </cell>
        </row>
        <row r="1534">
          <cell r="J1534" t="str">
            <v/>
          </cell>
        </row>
        <row r="1535">
          <cell r="J1535" t="str">
            <v/>
          </cell>
        </row>
        <row r="1536">
          <cell r="J1536" t="str">
            <v/>
          </cell>
        </row>
        <row r="1537">
          <cell r="J1537" t="str">
            <v/>
          </cell>
        </row>
        <row r="1538">
          <cell r="J1538" t="str">
            <v/>
          </cell>
        </row>
        <row r="1539">
          <cell r="J1539" t="str">
            <v/>
          </cell>
        </row>
        <row r="1540">
          <cell r="J1540" t="str">
            <v/>
          </cell>
        </row>
        <row r="1541">
          <cell r="J1541" t="str">
            <v/>
          </cell>
        </row>
        <row r="1542">
          <cell r="J1542" t="str">
            <v/>
          </cell>
        </row>
        <row r="1543">
          <cell r="J1543" t="str">
            <v/>
          </cell>
        </row>
        <row r="1544">
          <cell r="J1544" t="str">
            <v/>
          </cell>
        </row>
        <row r="1545">
          <cell r="J1545" t="str">
            <v/>
          </cell>
        </row>
        <row r="1546">
          <cell r="J1546" t="str">
            <v/>
          </cell>
        </row>
        <row r="1547">
          <cell r="J1547" t="str">
            <v/>
          </cell>
        </row>
        <row r="1548">
          <cell r="J1548" t="str">
            <v/>
          </cell>
        </row>
        <row r="1549">
          <cell r="J1549" t="str">
            <v/>
          </cell>
        </row>
        <row r="1550">
          <cell r="J1550" t="str">
            <v/>
          </cell>
        </row>
        <row r="1551">
          <cell r="J1551" t="str">
            <v/>
          </cell>
        </row>
        <row r="1552">
          <cell r="J1552" t="str">
            <v/>
          </cell>
        </row>
        <row r="1553">
          <cell r="J1553" t="str">
            <v/>
          </cell>
        </row>
        <row r="1554">
          <cell r="J1554" t="str">
            <v/>
          </cell>
        </row>
        <row r="1555">
          <cell r="J1555" t="str">
            <v/>
          </cell>
        </row>
        <row r="1556">
          <cell r="J1556" t="str">
            <v/>
          </cell>
        </row>
        <row r="1557">
          <cell r="J1557" t="str">
            <v/>
          </cell>
        </row>
        <row r="1558">
          <cell r="J1558" t="str">
            <v/>
          </cell>
        </row>
        <row r="1559">
          <cell r="J1559" t="str">
            <v/>
          </cell>
        </row>
        <row r="1560">
          <cell r="J1560" t="str">
            <v/>
          </cell>
        </row>
        <row r="1561">
          <cell r="J1561" t="str">
            <v/>
          </cell>
        </row>
        <row r="1562">
          <cell r="J1562" t="str">
            <v/>
          </cell>
        </row>
        <row r="1563">
          <cell r="J1563" t="str">
            <v/>
          </cell>
        </row>
        <row r="1564">
          <cell r="J1564" t="str">
            <v/>
          </cell>
        </row>
        <row r="1565">
          <cell r="J1565" t="str">
            <v/>
          </cell>
        </row>
        <row r="1566">
          <cell r="J1566" t="str">
            <v/>
          </cell>
        </row>
        <row r="1567">
          <cell r="J1567" t="str">
            <v/>
          </cell>
        </row>
        <row r="1568">
          <cell r="J1568" t="str">
            <v/>
          </cell>
        </row>
        <row r="1569">
          <cell r="J1569" t="str">
            <v/>
          </cell>
        </row>
        <row r="1570">
          <cell r="J1570" t="str">
            <v/>
          </cell>
        </row>
        <row r="1571">
          <cell r="J1571" t="str">
            <v/>
          </cell>
        </row>
        <row r="1572">
          <cell r="J1572" t="str">
            <v/>
          </cell>
        </row>
        <row r="1573">
          <cell r="J1573" t="str">
            <v/>
          </cell>
        </row>
        <row r="1574">
          <cell r="J1574" t="str">
            <v/>
          </cell>
        </row>
        <row r="1575">
          <cell r="J1575" t="str">
            <v/>
          </cell>
        </row>
        <row r="1576">
          <cell r="J1576" t="str">
            <v/>
          </cell>
        </row>
        <row r="1577">
          <cell r="J1577" t="str">
            <v/>
          </cell>
        </row>
        <row r="1578">
          <cell r="J1578" t="str">
            <v/>
          </cell>
        </row>
        <row r="1579">
          <cell r="J1579" t="str">
            <v/>
          </cell>
        </row>
        <row r="1580">
          <cell r="J1580" t="str">
            <v/>
          </cell>
        </row>
        <row r="1581">
          <cell r="J1581" t="str">
            <v/>
          </cell>
        </row>
        <row r="1582">
          <cell r="J1582" t="str">
            <v/>
          </cell>
        </row>
        <row r="1583">
          <cell r="J1583" t="str">
            <v>x</v>
          </cell>
        </row>
        <row r="1584">
          <cell r="J1584" t="str">
            <v>x</v>
          </cell>
        </row>
        <row r="1585">
          <cell r="J1585" t="str">
            <v>x</v>
          </cell>
        </row>
        <row r="1586">
          <cell r="J1586" t="str">
            <v>x</v>
          </cell>
        </row>
        <row r="1587">
          <cell r="J1587" t="str">
            <v>x</v>
          </cell>
        </row>
        <row r="1588">
          <cell r="J1588" t="str">
            <v>x</v>
          </cell>
        </row>
        <row r="1589">
          <cell r="J1589" t="str">
            <v>x</v>
          </cell>
        </row>
        <row r="1590">
          <cell r="J1590" t="str">
            <v>x</v>
          </cell>
        </row>
        <row r="1591">
          <cell r="J1591" t="str">
            <v>x</v>
          </cell>
        </row>
        <row r="1592">
          <cell r="J1592" t="str">
            <v/>
          </cell>
        </row>
        <row r="1593">
          <cell r="J1593" t="str">
            <v/>
          </cell>
        </row>
        <row r="1594">
          <cell r="J1594" t="str">
            <v/>
          </cell>
        </row>
        <row r="1595">
          <cell r="J1595" t="str">
            <v/>
          </cell>
        </row>
        <row r="1596">
          <cell r="J1596" t="str">
            <v/>
          </cell>
        </row>
        <row r="1597">
          <cell r="J1597" t="str">
            <v/>
          </cell>
        </row>
        <row r="1598">
          <cell r="J1598" t="str">
            <v/>
          </cell>
        </row>
        <row r="1599">
          <cell r="J1599" t="str">
            <v/>
          </cell>
        </row>
        <row r="1600">
          <cell r="J1600" t="str">
            <v/>
          </cell>
        </row>
        <row r="1601">
          <cell r="J1601" t="str">
            <v/>
          </cell>
        </row>
        <row r="1602">
          <cell r="J1602" t="str">
            <v/>
          </cell>
        </row>
        <row r="1603">
          <cell r="J1603" t="str">
            <v/>
          </cell>
        </row>
        <row r="1604">
          <cell r="J1604" t="str">
            <v/>
          </cell>
        </row>
        <row r="1605">
          <cell r="J1605" t="str">
            <v/>
          </cell>
        </row>
        <row r="1606">
          <cell r="J1606" t="str">
            <v/>
          </cell>
        </row>
        <row r="1607">
          <cell r="J1607" t="str">
            <v/>
          </cell>
        </row>
        <row r="1608">
          <cell r="J1608" t="str">
            <v/>
          </cell>
        </row>
        <row r="1609">
          <cell r="J1609" t="str">
            <v/>
          </cell>
        </row>
        <row r="1610">
          <cell r="J1610" t="str">
            <v/>
          </cell>
        </row>
        <row r="1611">
          <cell r="J1611" t="str">
            <v/>
          </cell>
        </row>
        <row r="1612">
          <cell r="J1612" t="str">
            <v/>
          </cell>
        </row>
        <row r="1613">
          <cell r="J1613" t="str">
            <v/>
          </cell>
        </row>
        <row r="1614">
          <cell r="J1614" t="str">
            <v/>
          </cell>
        </row>
        <row r="1615">
          <cell r="J1615" t="str">
            <v/>
          </cell>
        </row>
        <row r="1616">
          <cell r="J1616" t="str">
            <v/>
          </cell>
        </row>
        <row r="1617">
          <cell r="J1617" t="str">
            <v/>
          </cell>
        </row>
        <row r="1618">
          <cell r="J1618" t="str">
            <v/>
          </cell>
        </row>
        <row r="1619">
          <cell r="J1619" t="str">
            <v/>
          </cell>
        </row>
        <row r="1620">
          <cell r="J1620" t="str">
            <v/>
          </cell>
        </row>
        <row r="1621">
          <cell r="J1621" t="str">
            <v/>
          </cell>
        </row>
        <row r="1622">
          <cell r="J1622" t="str">
            <v/>
          </cell>
        </row>
        <row r="1623">
          <cell r="J1623" t="str">
            <v/>
          </cell>
        </row>
        <row r="1624">
          <cell r="J1624" t="str">
            <v/>
          </cell>
        </row>
        <row r="1625">
          <cell r="J1625" t="str">
            <v/>
          </cell>
        </row>
        <row r="1626">
          <cell r="J1626" t="str">
            <v/>
          </cell>
        </row>
        <row r="1627">
          <cell r="J1627" t="str">
            <v/>
          </cell>
        </row>
        <row r="1628">
          <cell r="J1628" t="str">
            <v/>
          </cell>
        </row>
        <row r="1629">
          <cell r="J1629" t="str">
            <v/>
          </cell>
        </row>
        <row r="1630">
          <cell r="J1630" t="str">
            <v/>
          </cell>
        </row>
        <row r="1631">
          <cell r="J1631" t="str">
            <v/>
          </cell>
        </row>
        <row r="1632">
          <cell r="J1632" t="str">
            <v/>
          </cell>
        </row>
        <row r="1633">
          <cell r="J1633" t="str">
            <v/>
          </cell>
        </row>
        <row r="1634">
          <cell r="J1634" t="str">
            <v/>
          </cell>
        </row>
        <row r="1635">
          <cell r="J1635" t="str">
            <v/>
          </cell>
        </row>
        <row r="1636">
          <cell r="J1636" t="str">
            <v/>
          </cell>
        </row>
        <row r="1637">
          <cell r="J1637" t="str">
            <v/>
          </cell>
        </row>
        <row r="1638">
          <cell r="J1638" t="str">
            <v/>
          </cell>
        </row>
        <row r="1639">
          <cell r="J1639" t="str">
            <v/>
          </cell>
        </row>
        <row r="1640">
          <cell r="J1640" t="str">
            <v/>
          </cell>
        </row>
        <row r="1641">
          <cell r="J1641" t="str">
            <v/>
          </cell>
        </row>
        <row r="1642">
          <cell r="J1642" t="str">
            <v/>
          </cell>
        </row>
        <row r="1643">
          <cell r="J1643" t="str">
            <v/>
          </cell>
        </row>
        <row r="1644">
          <cell r="J1644" t="str">
            <v/>
          </cell>
        </row>
        <row r="1645">
          <cell r="J1645" t="str">
            <v/>
          </cell>
        </row>
        <row r="1646">
          <cell r="J1646" t="str">
            <v/>
          </cell>
        </row>
        <row r="1647">
          <cell r="J1647" t="str">
            <v/>
          </cell>
        </row>
        <row r="1648">
          <cell r="J1648" t="str">
            <v/>
          </cell>
        </row>
        <row r="1649">
          <cell r="J1649" t="str">
            <v/>
          </cell>
        </row>
        <row r="1650">
          <cell r="J1650" t="str">
            <v/>
          </cell>
        </row>
        <row r="1651">
          <cell r="J1651" t="str">
            <v/>
          </cell>
        </row>
        <row r="1652">
          <cell r="J1652" t="str">
            <v/>
          </cell>
        </row>
        <row r="1653">
          <cell r="J1653" t="str">
            <v/>
          </cell>
        </row>
        <row r="1654">
          <cell r="J1654" t="str">
            <v/>
          </cell>
        </row>
        <row r="1655">
          <cell r="J1655" t="str">
            <v/>
          </cell>
        </row>
        <row r="1656">
          <cell r="J1656" t="str">
            <v/>
          </cell>
        </row>
        <row r="1657">
          <cell r="J1657" t="str">
            <v/>
          </cell>
        </row>
        <row r="1658">
          <cell r="J1658" t="str">
            <v/>
          </cell>
        </row>
        <row r="1659">
          <cell r="J1659" t="str">
            <v/>
          </cell>
        </row>
        <row r="1660">
          <cell r="J1660" t="str">
            <v/>
          </cell>
        </row>
        <row r="1661">
          <cell r="J1661" t="str">
            <v/>
          </cell>
        </row>
        <row r="1662">
          <cell r="J1662" t="str">
            <v/>
          </cell>
        </row>
        <row r="1663">
          <cell r="J1663" t="str">
            <v/>
          </cell>
        </row>
        <row r="1664">
          <cell r="J1664" t="str">
            <v/>
          </cell>
        </row>
        <row r="1665">
          <cell r="J1665" t="str">
            <v/>
          </cell>
        </row>
        <row r="1666">
          <cell r="J1666" t="str">
            <v/>
          </cell>
        </row>
        <row r="1667">
          <cell r="J1667" t="str">
            <v/>
          </cell>
        </row>
        <row r="1668">
          <cell r="J1668" t="str">
            <v/>
          </cell>
        </row>
        <row r="1669">
          <cell r="J1669" t="str">
            <v/>
          </cell>
        </row>
        <row r="1670">
          <cell r="J1670" t="str">
            <v/>
          </cell>
        </row>
        <row r="1671">
          <cell r="J1671" t="str">
            <v/>
          </cell>
        </row>
        <row r="1672">
          <cell r="J1672" t="str">
            <v/>
          </cell>
        </row>
        <row r="1673">
          <cell r="J1673" t="str">
            <v/>
          </cell>
        </row>
        <row r="1674">
          <cell r="J1674" t="str">
            <v/>
          </cell>
        </row>
        <row r="1675">
          <cell r="J1675" t="str">
            <v/>
          </cell>
        </row>
        <row r="1676">
          <cell r="J1676" t="str">
            <v/>
          </cell>
        </row>
        <row r="1677">
          <cell r="J1677" t="str">
            <v/>
          </cell>
        </row>
        <row r="1678">
          <cell r="J1678" t="str">
            <v/>
          </cell>
        </row>
        <row r="1679">
          <cell r="J1679" t="str">
            <v/>
          </cell>
        </row>
        <row r="1680">
          <cell r="J1680" t="str">
            <v/>
          </cell>
        </row>
        <row r="1681">
          <cell r="J1681" t="str">
            <v/>
          </cell>
        </row>
        <row r="1682">
          <cell r="J1682" t="str">
            <v/>
          </cell>
        </row>
        <row r="1683">
          <cell r="J1683" t="str">
            <v/>
          </cell>
        </row>
        <row r="1684">
          <cell r="J1684" t="str">
            <v/>
          </cell>
        </row>
        <row r="1685">
          <cell r="J1685" t="str">
            <v/>
          </cell>
        </row>
        <row r="1686">
          <cell r="J1686" t="str">
            <v/>
          </cell>
        </row>
        <row r="1687">
          <cell r="J1687" t="str">
            <v/>
          </cell>
        </row>
        <row r="1688">
          <cell r="J1688" t="str">
            <v/>
          </cell>
        </row>
        <row r="1689">
          <cell r="J1689" t="str">
            <v/>
          </cell>
        </row>
        <row r="1690">
          <cell r="J1690" t="str">
            <v/>
          </cell>
        </row>
        <row r="1691">
          <cell r="J1691" t="str">
            <v/>
          </cell>
        </row>
        <row r="1692">
          <cell r="J1692" t="str">
            <v/>
          </cell>
        </row>
        <row r="1693">
          <cell r="J1693" t="str">
            <v/>
          </cell>
        </row>
        <row r="1694">
          <cell r="J1694" t="str">
            <v/>
          </cell>
        </row>
        <row r="1695">
          <cell r="J1695" t="str">
            <v/>
          </cell>
        </row>
        <row r="1696">
          <cell r="J1696" t="str">
            <v/>
          </cell>
        </row>
        <row r="1697">
          <cell r="J1697" t="str">
            <v/>
          </cell>
        </row>
        <row r="1698">
          <cell r="J1698" t="str">
            <v/>
          </cell>
        </row>
        <row r="1699">
          <cell r="J1699" t="str">
            <v/>
          </cell>
        </row>
        <row r="1700">
          <cell r="J1700" t="str">
            <v/>
          </cell>
        </row>
        <row r="1701">
          <cell r="J1701" t="str">
            <v/>
          </cell>
        </row>
        <row r="1702">
          <cell r="J1702" t="str">
            <v/>
          </cell>
        </row>
        <row r="1703">
          <cell r="J1703" t="str">
            <v/>
          </cell>
        </row>
        <row r="1704">
          <cell r="J1704" t="str">
            <v/>
          </cell>
        </row>
        <row r="1705">
          <cell r="J1705" t="str">
            <v/>
          </cell>
        </row>
        <row r="1706">
          <cell r="J1706" t="str">
            <v/>
          </cell>
        </row>
        <row r="1707">
          <cell r="J1707" t="str">
            <v/>
          </cell>
        </row>
        <row r="1708">
          <cell r="J1708" t="str">
            <v/>
          </cell>
        </row>
        <row r="1709">
          <cell r="J1709" t="str">
            <v/>
          </cell>
        </row>
        <row r="1710">
          <cell r="J1710" t="str">
            <v/>
          </cell>
        </row>
        <row r="1711">
          <cell r="J1711" t="str">
            <v/>
          </cell>
        </row>
        <row r="1712">
          <cell r="J1712" t="str">
            <v/>
          </cell>
        </row>
        <row r="1713">
          <cell r="J1713" t="str">
            <v/>
          </cell>
        </row>
        <row r="1714">
          <cell r="J1714" t="str">
            <v/>
          </cell>
        </row>
        <row r="1715">
          <cell r="J1715" t="str">
            <v/>
          </cell>
        </row>
        <row r="1716">
          <cell r="J1716" t="str">
            <v/>
          </cell>
        </row>
        <row r="1717">
          <cell r="J1717" t="str">
            <v/>
          </cell>
        </row>
        <row r="1718">
          <cell r="J1718" t="str">
            <v/>
          </cell>
        </row>
        <row r="1719">
          <cell r="J1719" t="str">
            <v/>
          </cell>
        </row>
        <row r="1720">
          <cell r="J1720" t="str">
            <v/>
          </cell>
        </row>
        <row r="1721">
          <cell r="J1721" t="str">
            <v/>
          </cell>
        </row>
        <row r="1722">
          <cell r="J1722" t="str">
            <v/>
          </cell>
        </row>
        <row r="1723">
          <cell r="J1723" t="str">
            <v/>
          </cell>
        </row>
        <row r="1724">
          <cell r="J1724" t="str">
            <v/>
          </cell>
        </row>
        <row r="1725">
          <cell r="J1725" t="str">
            <v/>
          </cell>
        </row>
        <row r="1726">
          <cell r="J1726" t="str">
            <v/>
          </cell>
        </row>
        <row r="1727">
          <cell r="J1727" t="str">
            <v/>
          </cell>
        </row>
        <row r="1728">
          <cell r="J1728" t="str">
            <v/>
          </cell>
        </row>
        <row r="1729">
          <cell r="J1729" t="str">
            <v/>
          </cell>
        </row>
        <row r="1730">
          <cell r="J1730" t="str">
            <v/>
          </cell>
        </row>
        <row r="1731">
          <cell r="J1731" t="str">
            <v/>
          </cell>
        </row>
        <row r="1732">
          <cell r="J1732" t="str">
            <v/>
          </cell>
        </row>
        <row r="1733">
          <cell r="J1733" t="str">
            <v/>
          </cell>
        </row>
        <row r="1734">
          <cell r="J1734" t="str">
            <v/>
          </cell>
        </row>
        <row r="1735">
          <cell r="J1735" t="str">
            <v/>
          </cell>
        </row>
        <row r="1736">
          <cell r="J1736" t="str">
            <v/>
          </cell>
        </row>
        <row r="1737">
          <cell r="J1737" t="str">
            <v/>
          </cell>
        </row>
        <row r="1738">
          <cell r="J1738" t="str">
            <v/>
          </cell>
        </row>
        <row r="1739">
          <cell r="J1739" t="str">
            <v/>
          </cell>
        </row>
        <row r="1740">
          <cell r="J1740" t="str">
            <v/>
          </cell>
        </row>
        <row r="1741">
          <cell r="J1741" t="str">
            <v/>
          </cell>
        </row>
        <row r="1742">
          <cell r="J1742" t="str">
            <v/>
          </cell>
        </row>
        <row r="1743">
          <cell r="J1743" t="str">
            <v/>
          </cell>
        </row>
        <row r="1744">
          <cell r="J1744" t="str">
            <v/>
          </cell>
        </row>
        <row r="1745">
          <cell r="J1745" t="str">
            <v/>
          </cell>
        </row>
        <row r="1746">
          <cell r="J1746" t="str">
            <v/>
          </cell>
        </row>
        <row r="1747">
          <cell r="J1747" t="str">
            <v/>
          </cell>
        </row>
        <row r="1748">
          <cell r="J1748" t="str">
            <v/>
          </cell>
        </row>
        <row r="1749">
          <cell r="J1749" t="str">
            <v/>
          </cell>
        </row>
        <row r="1750">
          <cell r="J1750" t="str">
            <v/>
          </cell>
        </row>
        <row r="1751">
          <cell r="J1751" t="str">
            <v/>
          </cell>
        </row>
        <row r="1752">
          <cell r="J1752" t="str">
            <v/>
          </cell>
        </row>
        <row r="1753">
          <cell r="J1753" t="str">
            <v/>
          </cell>
        </row>
        <row r="1754">
          <cell r="J1754" t="str">
            <v/>
          </cell>
        </row>
        <row r="1755">
          <cell r="J1755" t="str">
            <v/>
          </cell>
        </row>
        <row r="1756">
          <cell r="J1756" t="str">
            <v/>
          </cell>
        </row>
        <row r="1757">
          <cell r="J1757" t="str">
            <v/>
          </cell>
        </row>
        <row r="1758">
          <cell r="J1758" t="str">
            <v/>
          </cell>
        </row>
        <row r="1759">
          <cell r="J1759" t="str">
            <v/>
          </cell>
        </row>
        <row r="1760">
          <cell r="J1760" t="str">
            <v/>
          </cell>
        </row>
        <row r="1761">
          <cell r="J1761" t="str">
            <v/>
          </cell>
        </row>
        <row r="1762">
          <cell r="J1762" t="str">
            <v/>
          </cell>
        </row>
        <row r="1763">
          <cell r="J1763" t="str">
            <v/>
          </cell>
        </row>
        <row r="1764">
          <cell r="J1764" t="str">
            <v/>
          </cell>
        </row>
        <row r="1765">
          <cell r="J1765" t="str">
            <v/>
          </cell>
        </row>
        <row r="1766">
          <cell r="J1766" t="str">
            <v/>
          </cell>
        </row>
        <row r="1767">
          <cell r="J1767" t="str">
            <v/>
          </cell>
        </row>
        <row r="1768">
          <cell r="J1768" t="str">
            <v/>
          </cell>
        </row>
        <row r="1769">
          <cell r="J1769" t="str">
            <v/>
          </cell>
        </row>
        <row r="1770">
          <cell r="J1770" t="str">
            <v/>
          </cell>
        </row>
        <row r="1771">
          <cell r="J1771" t="str">
            <v/>
          </cell>
        </row>
        <row r="1772">
          <cell r="J1772" t="str">
            <v/>
          </cell>
        </row>
        <row r="1773">
          <cell r="J1773" t="str">
            <v/>
          </cell>
        </row>
        <row r="1774">
          <cell r="J1774" t="str">
            <v/>
          </cell>
        </row>
        <row r="1775">
          <cell r="J1775" t="str">
            <v/>
          </cell>
        </row>
        <row r="1776">
          <cell r="J1776" t="str">
            <v/>
          </cell>
        </row>
        <row r="1777">
          <cell r="J1777" t="str">
            <v/>
          </cell>
        </row>
        <row r="1778">
          <cell r="J1778" t="str">
            <v/>
          </cell>
        </row>
        <row r="1779">
          <cell r="J1779" t="str">
            <v/>
          </cell>
        </row>
        <row r="1780">
          <cell r="J1780" t="str">
            <v/>
          </cell>
        </row>
        <row r="1781">
          <cell r="J1781" t="str">
            <v/>
          </cell>
        </row>
        <row r="1782">
          <cell r="J1782" t="str">
            <v/>
          </cell>
        </row>
        <row r="1783">
          <cell r="J1783" t="str">
            <v/>
          </cell>
        </row>
        <row r="1784">
          <cell r="J1784" t="str">
            <v/>
          </cell>
        </row>
        <row r="1785">
          <cell r="J1785" t="str">
            <v/>
          </cell>
        </row>
        <row r="1786">
          <cell r="J1786" t="str">
            <v/>
          </cell>
        </row>
        <row r="1787">
          <cell r="J1787" t="str">
            <v/>
          </cell>
        </row>
        <row r="1788">
          <cell r="J1788" t="str">
            <v/>
          </cell>
        </row>
        <row r="1789">
          <cell r="J1789" t="str">
            <v/>
          </cell>
        </row>
        <row r="1790">
          <cell r="J1790" t="str">
            <v/>
          </cell>
        </row>
        <row r="1791">
          <cell r="J1791" t="str">
            <v/>
          </cell>
        </row>
        <row r="1792">
          <cell r="J1792" t="str">
            <v/>
          </cell>
        </row>
        <row r="1793">
          <cell r="J1793" t="str">
            <v/>
          </cell>
        </row>
        <row r="1794">
          <cell r="J1794" t="str">
            <v/>
          </cell>
        </row>
        <row r="1795">
          <cell r="J1795" t="str">
            <v/>
          </cell>
        </row>
        <row r="1796">
          <cell r="J1796" t="str">
            <v/>
          </cell>
        </row>
        <row r="1797">
          <cell r="J1797" t="str">
            <v/>
          </cell>
        </row>
        <row r="1798">
          <cell r="J1798" t="str">
            <v/>
          </cell>
        </row>
        <row r="1799">
          <cell r="J1799" t="str">
            <v/>
          </cell>
        </row>
        <row r="1800">
          <cell r="J1800" t="str">
            <v/>
          </cell>
        </row>
        <row r="1801">
          <cell r="J1801" t="str">
            <v/>
          </cell>
        </row>
        <row r="1802">
          <cell r="J1802" t="str">
            <v/>
          </cell>
        </row>
        <row r="1803">
          <cell r="J1803" t="str">
            <v/>
          </cell>
        </row>
        <row r="1804">
          <cell r="J1804" t="str">
            <v/>
          </cell>
        </row>
        <row r="1805">
          <cell r="J1805" t="str">
            <v/>
          </cell>
        </row>
        <row r="1806">
          <cell r="J1806" t="str">
            <v/>
          </cell>
        </row>
        <row r="1807">
          <cell r="J1807" t="str">
            <v/>
          </cell>
        </row>
        <row r="1808">
          <cell r="J1808" t="str">
            <v/>
          </cell>
        </row>
        <row r="1809">
          <cell r="J1809" t="str">
            <v/>
          </cell>
        </row>
        <row r="1810">
          <cell r="J1810" t="str">
            <v/>
          </cell>
        </row>
        <row r="1811">
          <cell r="J1811" t="str">
            <v/>
          </cell>
        </row>
        <row r="1812">
          <cell r="J1812" t="str">
            <v/>
          </cell>
        </row>
        <row r="1813">
          <cell r="J1813" t="str">
            <v/>
          </cell>
        </row>
        <row r="1814">
          <cell r="J1814" t="str">
            <v/>
          </cell>
        </row>
        <row r="1815">
          <cell r="J1815" t="str">
            <v/>
          </cell>
        </row>
        <row r="1816">
          <cell r="J1816" t="str">
            <v/>
          </cell>
        </row>
        <row r="1817">
          <cell r="J1817" t="str">
            <v/>
          </cell>
        </row>
        <row r="1818">
          <cell r="J1818" t="str">
            <v/>
          </cell>
        </row>
        <row r="1819">
          <cell r="J1819" t="str">
            <v/>
          </cell>
        </row>
        <row r="1820">
          <cell r="J1820" t="str">
            <v/>
          </cell>
        </row>
        <row r="1821">
          <cell r="J1821" t="str">
            <v/>
          </cell>
        </row>
        <row r="1822">
          <cell r="J1822" t="str">
            <v/>
          </cell>
        </row>
        <row r="1823">
          <cell r="J1823" t="str">
            <v/>
          </cell>
        </row>
        <row r="1824">
          <cell r="J1824" t="str">
            <v/>
          </cell>
        </row>
        <row r="1825">
          <cell r="J1825" t="str">
            <v/>
          </cell>
        </row>
        <row r="1826">
          <cell r="J1826" t="str">
            <v/>
          </cell>
        </row>
        <row r="1827">
          <cell r="J1827" t="str">
            <v/>
          </cell>
        </row>
        <row r="1828">
          <cell r="J1828" t="str">
            <v/>
          </cell>
        </row>
        <row r="1829">
          <cell r="J1829" t="str">
            <v/>
          </cell>
        </row>
        <row r="1830">
          <cell r="J1830" t="str">
            <v/>
          </cell>
        </row>
        <row r="1831">
          <cell r="J1831" t="str">
            <v/>
          </cell>
        </row>
        <row r="1832">
          <cell r="J1832" t="str">
            <v/>
          </cell>
        </row>
        <row r="1833">
          <cell r="J1833" t="str">
            <v/>
          </cell>
        </row>
        <row r="1834">
          <cell r="J1834" t="str">
            <v/>
          </cell>
        </row>
        <row r="1835">
          <cell r="J1835" t="str">
            <v/>
          </cell>
        </row>
        <row r="1836">
          <cell r="J1836" t="str">
            <v/>
          </cell>
        </row>
        <row r="1837">
          <cell r="J1837" t="str">
            <v/>
          </cell>
        </row>
        <row r="1838">
          <cell r="J1838" t="str">
            <v/>
          </cell>
        </row>
        <row r="1839">
          <cell r="J1839" t="str">
            <v/>
          </cell>
        </row>
        <row r="1840">
          <cell r="J1840" t="str">
            <v/>
          </cell>
        </row>
        <row r="1841">
          <cell r="J1841" t="str">
            <v/>
          </cell>
        </row>
        <row r="1842">
          <cell r="J1842" t="str">
            <v/>
          </cell>
        </row>
        <row r="1843">
          <cell r="J1843" t="str">
            <v/>
          </cell>
        </row>
        <row r="1844">
          <cell r="J1844" t="str">
            <v/>
          </cell>
        </row>
        <row r="1845">
          <cell r="J1845" t="str">
            <v/>
          </cell>
        </row>
        <row r="1846">
          <cell r="J1846" t="str">
            <v/>
          </cell>
        </row>
        <row r="1847">
          <cell r="J1847" t="str">
            <v/>
          </cell>
        </row>
        <row r="1848">
          <cell r="J1848" t="str">
            <v/>
          </cell>
        </row>
        <row r="1849">
          <cell r="J1849" t="str">
            <v/>
          </cell>
        </row>
        <row r="1850">
          <cell r="J1850" t="str">
            <v/>
          </cell>
        </row>
        <row r="1851">
          <cell r="J1851" t="str">
            <v/>
          </cell>
        </row>
        <row r="1852">
          <cell r="J1852" t="str">
            <v/>
          </cell>
        </row>
        <row r="1853">
          <cell r="J1853" t="str">
            <v/>
          </cell>
        </row>
        <row r="1854">
          <cell r="J1854" t="str">
            <v/>
          </cell>
        </row>
        <row r="1855">
          <cell r="J1855" t="str">
            <v/>
          </cell>
        </row>
        <row r="1856">
          <cell r="J1856" t="str">
            <v/>
          </cell>
        </row>
        <row r="1857">
          <cell r="J1857" t="str">
            <v/>
          </cell>
        </row>
        <row r="1858">
          <cell r="J1858" t="str">
            <v/>
          </cell>
        </row>
        <row r="1859">
          <cell r="J1859" t="str">
            <v/>
          </cell>
        </row>
        <row r="1860">
          <cell r="J1860" t="str">
            <v/>
          </cell>
        </row>
        <row r="1861">
          <cell r="J1861" t="str">
            <v/>
          </cell>
        </row>
        <row r="1862">
          <cell r="J1862" t="str">
            <v/>
          </cell>
        </row>
        <row r="1863">
          <cell r="J1863" t="str">
            <v/>
          </cell>
        </row>
        <row r="1864">
          <cell r="J1864" t="str">
            <v/>
          </cell>
        </row>
        <row r="1865">
          <cell r="J1865" t="str">
            <v/>
          </cell>
        </row>
        <row r="1866">
          <cell r="J1866" t="str">
            <v/>
          </cell>
        </row>
        <row r="1867">
          <cell r="J1867" t="str">
            <v/>
          </cell>
        </row>
        <row r="1868">
          <cell r="J1868" t="str">
            <v/>
          </cell>
        </row>
        <row r="1869">
          <cell r="J1869" t="str">
            <v/>
          </cell>
        </row>
        <row r="1870">
          <cell r="J1870" t="str">
            <v/>
          </cell>
        </row>
        <row r="1871">
          <cell r="J1871" t="str">
            <v/>
          </cell>
        </row>
        <row r="1872">
          <cell r="J1872" t="str">
            <v/>
          </cell>
        </row>
        <row r="1873">
          <cell r="J1873" t="str">
            <v/>
          </cell>
        </row>
        <row r="1874">
          <cell r="J1874" t="str">
            <v/>
          </cell>
        </row>
        <row r="1875">
          <cell r="J1875" t="str">
            <v/>
          </cell>
        </row>
        <row r="1876">
          <cell r="J1876" t="str">
            <v/>
          </cell>
        </row>
        <row r="1877">
          <cell r="J1877" t="str">
            <v/>
          </cell>
        </row>
        <row r="1878">
          <cell r="J1878" t="str">
            <v/>
          </cell>
        </row>
        <row r="1879">
          <cell r="J1879" t="str">
            <v/>
          </cell>
        </row>
        <row r="1880">
          <cell r="J1880" t="str">
            <v/>
          </cell>
        </row>
        <row r="1881">
          <cell r="J1881" t="str">
            <v/>
          </cell>
        </row>
        <row r="1882">
          <cell r="J1882" t="str">
            <v/>
          </cell>
        </row>
        <row r="1883">
          <cell r="J1883" t="str">
            <v/>
          </cell>
        </row>
        <row r="1884">
          <cell r="J1884" t="str">
            <v/>
          </cell>
        </row>
        <row r="1885">
          <cell r="J1885" t="str">
            <v/>
          </cell>
        </row>
        <row r="1886">
          <cell r="J1886" t="str">
            <v/>
          </cell>
        </row>
        <row r="1887">
          <cell r="J1887" t="str">
            <v/>
          </cell>
        </row>
        <row r="1888">
          <cell r="J1888" t="str">
            <v/>
          </cell>
        </row>
        <row r="1889">
          <cell r="J1889" t="str">
            <v/>
          </cell>
        </row>
        <row r="1890">
          <cell r="J1890" t="str">
            <v/>
          </cell>
        </row>
        <row r="1891">
          <cell r="J1891" t="str">
            <v/>
          </cell>
        </row>
        <row r="1892">
          <cell r="J1892" t="str">
            <v/>
          </cell>
        </row>
        <row r="1893">
          <cell r="J1893" t="str">
            <v/>
          </cell>
        </row>
        <row r="1894">
          <cell r="J1894" t="str">
            <v/>
          </cell>
        </row>
        <row r="1895">
          <cell r="J1895" t="str">
            <v/>
          </cell>
        </row>
        <row r="1896">
          <cell r="J1896" t="str">
            <v/>
          </cell>
        </row>
        <row r="1897">
          <cell r="J1897" t="str">
            <v/>
          </cell>
        </row>
        <row r="1898">
          <cell r="J1898" t="str">
            <v/>
          </cell>
        </row>
        <row r="1899">
          <cell r="J1899" t="str">
            <v/>
          </cell>
        </row>
        <row r="1900">
          <cell r="J1900" t="str">
            <v/>
          </cell>
        </row>
        <row r="1901">
          <cell r="J1901" t="str">
            <v/>
          </cell>
        </row>
        <row r="1902">
          <cell r="J1902" t="str">
            <v/>
          </cell>
        </row>
        <row r="1903">
          <cell r="J1903" t="str">
            <v/>
          </cell>
        </row>
        <row r="1904">
          <cell r="J1904" t="str">
            <v/>
          </cell>
        </row>
        <row r="1905">
          <cell r="J1905" t="str">
            <v/>
          </cell>
        </row>
        <row r="1906">
          <cell r="J1906" t="str">
            <v/>
          </cell>
        </row>
        <row r="1907">
          <cell r="J1907" t="str">
            <v/>
          </cell>
        </row>
        <row r="1908">
          <cell r="J1908" t="str">
            <v/>
          </cell>
        </row>
        <row r="1909">
          <cell r="J1909" t="str">
            <v/>
          </cell>
        </row>
        <row r="1910">
          <cell r="J1910" t="str">
            <v/>
          </cell>
        </row>
        <row r="1911">
          <cell r="J1911" t="str">
            <v/>
          </cell>
        </row>
        <row r="1912">
          <cell r="J1912" t="str">
            <v/>
          </cell>
        </row>
        <row r="1913">
          <cell r="J1913" t="str">
            <v/>
          </cell>
        </row>
        <row r="1914">
          <cell r="J1914" t="str">
            <v/>
          </cell>
        </row>
        <row r="1915">
          <cell r="J1915" t="str">
            <v/>
          </cell>
        </row>
        <row r="1916">
          <cell r="J1916" t="str">
            <v/>
          </cell>
        </row>
        <row r="1917">
          <cell r="J1917" t="str">
            <v/>
          </cell>
        </row>
        <row r="1918">
          <cell r="J1918" t="str">
            <v/>
          </cell>
        </row>
        <row r="1919">
          <cell r="J1919" t="str">
            <v/>
          </cell>
        </row>
        <row r="1920">
          <cell r="J1920" t="str">
            <v/>
          </cell>
        </row>
        <row r="1921">
          <cell r="J1921" t="str">
            <v/>
          </cell>
        </row>
        <row r="1922">
          <cell r="J1922" t="str">
            <v/>
          </cell>
        </row>
        <row r="1923">
          <cell r="J1923" t="str">
            <v/>
          </cell>
        </row>
        <row r="1924">
          <cell r="J1924" t="str">
            <v/>
          </cell>
        </row>
        <row r="1925">
          <cell r="J1925" t="str">
            <v/>
          </cell>
        </row>
        <row r="1926">
          <cell r="J1926" t="str">
            <v/>
          </cell>
        </row>
        <row r="1927">
          <cell r="J1927" t="str">
            <v/>
          </cell>
        </row>
        <row r="1928">
          <cell r="J1928" t="str">
            <v/>
          </cell>
        </row>
        <row r="1929">
          <cell r="J1929" t="str">
            <v/>
          </cell>
        </row>
        <row r="1930">
          <cell r="J1930" t="str">
            <v/>
          </cell>
        </row>
        <row r="1931">
          <cell r="J1931" t="str">
            <v/>
          </cell>
        </row>
        <row r="1932">
          <cell r="J1932" t="str">
            <v/>
          </cell>
        </row>
        <row r="1933">
          <cell r="J1933" t="str">
            <v/>
          </cell>
        </row>
        <row r="1934">
          <cell r="J1934" t="str">
            <v/>
          </cell>
        </row>
        <row r="1935">
          <cell r="J1935" t="str">
            <v/>
          </cell>
        </row>
        <row r="1936">
          <cell r="J1936" t="str">
            <v/>
          </cell>
        </row>
        <row r="1937">
          <cell r="J1937" t="str">
            <v/>
          </cell>
        </row>
        <row r="1938">
          <cell r="J1938" t="str">
            <v/>
          </cell>
        </row>
        <row r="1939">
          <cell r="J1939" t="str">
            <v/>
          </cell>
        </row>
        <row r="1940">
          <cell r="J1940" t="str">
            <v/>
          </cell>
        </row>
        <row r="1941">
          <cell r="J1941" t="str">
            <v/>
          </cell>
        </row>
        <row r="1942">
          <cell r="J1942" t="str">
            <v/>
          </cell>
        </row>
        <row r="1943">
          <cell r="J1943" t="str">
            <v/>
          </cell>
        </row>
        <row r="1944">
          <cell r="J1944" t="str">
            <v/>
          </cell>
        </row>
        <row r="1945">
          <cell r="J1945" t="str">
            <v/>
          </cell>
        </row>
        <row r="1946">
          <cell r="J1946" t="str">
            <v/>
          </cell>
        </row>
        <row r="1947">
          <cell r="J1947" t="str">
            <v/>
          </cell>
        </row>
        <row r="1948">
          <cell r="J1948" t="str">
            <v/>
          </cell>
        </row>
        <row r="1949">
          <cell r="J1949" t="str">
            <v/>
          </cell>
        </row>
        <row r="1950">
          <cell r="J1950" t="str">
            <v/>
          </cell>
        </row>
        <row r="1951">
          <cell r="J1951" t="str">
            <v/>
          </cell>
        </row>
        <row r="1952">
          <cell r="J1952" t="str">
            <v/>
          </cell>
        </row>
        <row r="1953">
          <cell r="J1953" t="str">
            <v/>
          </cell>
        </row>
        <row r="1954">
          <cell r="J1954" t="str">
            <v/>
          </cell>
        </row>
        <row r="1955">
          <cell r="J1955" t="str">
            <v/>
          </cell>
        </row>
        <row r="1956">
          <cell r="J1956" t="str">
            <v/>
          </cell>
        </row>
        <row r="1957">
          <cell r="J1957" t="str">
            <v/>
          </cell>
        </row>
        <row r="1958">
          <cell r="J1958" t="str">
            <v/>
          </cell>
        </row>
        <row r="1959">
          <cell r="J1959" t="str">
            <v/>
          </cell>
        </row>
        <row r="1960">
          <cell r="J1960" t="str">
            <v/>
          </cell>
        </row>
        <row r="1961">
          <cell r="J1961" t="str">
            <v/>
          </cell>
        </row>
        <row r="1962">
          <cell r="J1962" t="str">
            <v/>
          </cell>
        </row>
        <row r="1963">
          <cell r="J1963" t="str">
            <v/>
          </cell>
        </row>
        <row r="1964">
          <cell r="J1964" t="str">
            <v/>
          </cell>
        </row>
        <row r="1965">
          <cell r="J1965" t="str">
            <v/>
          </cell>
        </row>
        <row r="1966">
          <cell r="J1966" t="str">
            <v/>
          </cell>
        </row>
        <row r="1967">
          <cell r="J1967" t="str">
            <v/>
          </cell>
        </row>
        <row r="1968">
          <cell r="J1968" t="str">
            <v/>
          </cell>
        </row>
        <row r="1969">
          <cell r="J1969" t="str">
            <v/>
          </cell>
        </row>
        <row r="1970">
          <cell r="J1970" t="str">
            <v/>
          </cell>
        </row>
        <row r="1971">
          <cell r="J1971" t="str">
            <v/>
          </cell>
        </row>
        <row r="1972">
          <cell r="J1972" t="str">
            <v/>
          </cell>
        </row>
        <row r="1973">
          <cell r="J1973" t="str">
            <v/>
          </cell>
        </row>
        <row r="1974">
          <cell r="J1974" t="str">
            <v/>
          </cell>
        </row>
        <row r="1975">
          <cell r="J1975" t="str">
            <v>x</v>
          </cell>
        </row>
        <row r="1976">
          <cell r="J1976" t="str">
            <v>x</v>
          </cell>
        </row>
        <row r="1977">
          <cell r="J1977" t="str">
            <v>x</v>
          </cell>
        </row>
        <row r="1978">
          <cell r="J1978" t="str">
            <v>x</v>
          </cell>
        </row>
        <row r="1979">
          <cell r="J1979" t="str">
            <v>x</v>
          </cell>
        </row>
        <row r="1980">
          <cell r="J1980" t="str">
            <v>x</v>
          </cell>
        </row>
        <row r="1981">
          <cell r="J1981" t="str">
            <v>x</v>
          </cell>
        </row>
        <row r="1982">
          <cell r="J1982" t="str">
            <v>x</v>
          </cell>
        </row>
        <row r="1983">
          <cell r="J1983" t="str">
            <v>x</v>
          </cell>
        </row>
        <row r="1984">
          <cell r="J1984" t="str">
            <v/>
          </cell>
        </row>
        <row r="1985">
          <cell r="J1985" t="str">
            <v/>
          </cell>
        </row>
        <row r="1986">
          <cell r="J1986" t="str">
            <v/>
          </cell>
        </row>
        <row r="1987">
          <cell r="J1987" t="str">
            <v/>
          </cell>
        </row>
        <row r="1988">
          <cell r="J1988" t="str">
            <v/>
          </cell>
        </row>
        <row r="1989">
          <cell r="J1989" t="str">
            <v/>
          </cell>
        </row>
        <row r="1990">
          <cell r="J1990" t="str">
            <v/>
          </cell>
        </row>
        <row r="1991">
          <cell r="J1991" t="str">
            <v/>
          </cell>
        </row>
        <row r="1992">
          <cell r="J1992" t="str">
            <v/>
          </cell>
        </row>
        <row r="1993">
          <cell r="J1993" t="str">
            <v/>
          </cell>
        </row>
        <row r="1994">
          <cell r="J1994" t="str">
            <v/>
          </cell>
        </row>
        <row r="1995">
          <cell r="J1995" t="str">
            <v/>
          </cell>
        </row>
        <row r="1996">
          <cell r="J1996" t="str">
            <v/>
          </cell>
        </row>
        <row r="1997">
          <cell r="J1997" t="str">
            <v/>
          </cell>
        </row>
        <row r="1998">
          <cell r="J1998" t="str">
            <v/>
          </cell>
        </row>
        <row r="1999">
          <cell r="J1999" t="str">
            <v/>
          </cell>
        </row>
        <row r="2000">
          <cell r="J2000" t="str">
            <v/>
          </cell>
        </row>
        <row r="2001">
          <cell r="J2001" t="str">
            <v/>
          </cell>
        </row>
        <row r="2002">
          <cell r="J2002" t="str">
            <v/>
          </cell>
        </row>
        <row r="2003">
          <cell r="J2003" t="str">
            <v/>
          </cell>
        </row>
        <row r="2004">
          <cell r="J2004" t="str">
            <v/>
          </cell>
        </row>
        <row r="2005">
          <cell r="J2005" t="str">
            <v/>
          </cell>
        </row>
        <row r="2006">
          <cell r="J2006" t="str">
            <v/>
          </cell>
        </row>
        <row r="2007">
          <cell r="J2007" t="str">
            <v/>
          </cell>
        </row>
        <row r="2008">
          <cell r="J2008" t="str">
            <v/>
          </cell>
        </row>
        <row r="2009">
          <cell r="J2009" t="str">
            <v/>
          </cell>
        </row>
        <row r="2010">
          <cell r="J2010" t="str">
            <v/>
          </cell>
        </row>
        <row r="2011">
          <cell r="J2011" t="str">
            <v/>
          </cell>
        </row>
        <row r="2012">
          <cell r="J2012" t="str">
            <v/>
          </cell>
        </row>
        <row r="2013">
          <cell r="J2013" t="str">
            <v/>
          </cell>
        </row>
        <row r="2014">
          <cell r="J2014" t="str">
            <v/>
          </cell>
        </row>
        <row r="2015">
          <cell r="J2015" t="str">
            <v/>
          </cell>
        </row>
        <row r="2016">
          <cell r="J2016" t="str">
            <v/>
          </cell>
        </row>
        <row r="2017">
          <cell r="J2017" t="str">
            <v/>
          </cell>
        </row>
        <row r="2018">
          <cell r="J2018" t="str">
            <v/>
          </cell>
        </row>
        <row r="2019">
          <cell r="J2019" t="str">
            <v/>
          </cell>
        </row>
        <row r="2020">
          <cell r="J2020" t="str">
            <v/>
          </cell>
        </row>
        <row r="2021">
          <cell r="J2021" t="str">
            <v/>
          </cell>
        </row>
        <row r="2022">
          <cell r="J2022" t="str">
            <v/>
          </cell>
        </row>
        <row r="2023">
          <cell r="J2023" t="str">
            <v/>
          </cell>
        </row>
        <row r="2024">
          <cell r="J2024" t="str">
            <v/>
          </cell>
        </row>
        <row r="2025">
          <cell r="J2025" t="str">
            <v/>
          </cell>
        </row>
        <row r="2026">
          <cell r="J2026" t="str">
            <v/>
          </cell>
        </row>
        <row r="2027">
          <cell r="J2027" t="str">
            <v/>
          </cell>
        </row>
        <row r="2028">
          <cell r="J2028" t="str">
            <v/>
          </cell>
        </row>
        <row r="2029">
          <cell r="J2029" t="str">
            <v/>
          </cell>
        </row>
        <row r="2030">
          <cell r="J2030" t="str">
            <v/>
          </cell>
        </row>
        <row r="2031">
          <cell r="J2031" t="str">
            <v/>
          </cell>
        </row>
        <row r="2032">
          <cell r="J2032" t="str">
            <v/>
          </cell>
        </row>
        <row r="2033">
          <cell r="J2033" t="str">
            <v/>
          </cell>
        </row>
        <row r="2034">
          <cell r="J2034" t="str">
            <v/>
          </cell>
        </row>
        <row r="2035">
          <cell r="J2035" t="str">
            <v/>
          </cell>
        </row>
        <row r="2036">
          <cell r="J2036" t="str">
            <v/>
          </cell>
        </row>
        <row r="2037">
          <cell r="J2037" t="str">
            <v/>
          </cell>
        </row>
        <row r="2038">
          <cell r="J2038" t="str">
            <v/>
          </cell>
        </row>
        <row r="2039">
          <cell r="J2039" t="str">
            <v/>
          </cell>
        </row>
        <row r="2040">
          <cell r="J2040" t="str">
            <v/>
          </cell>
        </row>
        <row r="2041">
          <cell r="J2041" t="str">
            <v/>
          </cell>
        </row>
        <row r="2042">
          <cell r="J2042" t="str">
            <v/>
          </cell>
        </row>
        <row r="2043">
          <cell r="J2043" t="str">
            <v/>
          </cell>
        </row>
        <row r="2044">
          <cell r="J2044" t="str">
            <v/>
          </cell>
        </row>
        <row r="2045">
          <cell r="J2045" t="str">
            <v/>
          </cell>
        </row>
        <row r="2046">
          <cell r="J2046" t="str">
            <v/>
          </cell>
        </row>
        <row r="2047">
          <cell r="J2047" t="str">
            <v/>
          </cell>
        </row>
        <row r="2048">
          <cell r="J2048" t="str">
            <v/>
          </cell>
        </row>
        <row r="2049">
          <cell r="J2049" t="str">
            <v/>
          </cell>
        </row>
        <row r="2050">
          <cell r="J2050" t="str">
            <v/>
          </cell>
        </row>
        <row r="2051">
          <cell r="J2051" t="str">
            <v/>
          </cell>
        </row>
        <row r="2052">
          <cell r="J2052" t="str">
            <v/>
          </cell>
        </row>
        <row r="2053">
          <cell r="J2053" t="str">
            <v/>
          </cell>
        </row>
        <row r="2054">
          <cell r="J2054" t="str">
            <v/>
          </cell>
        </row>
        <row r="2055">
          <cell r="J2055" t="str">
            <v/>
          </cell>
        </row>
        <row r="2056">
          <cell r="J2056" t="str">
            <v/>
          </cell>
        </row>
        <row r="2057">
          <cell r="J2057" t="str">
            <v/>
          </cell>
        </row>
        <row r="2058">
          <cell r="J2058" t="str">
            <v/>
          </cell>
        </row>
        <row r="2059">
          <cell r="J2059" t="str">
            <v/>
          </cell>
        </row>
        <row r="2060">
          <cell r="J2060" t="str">
            <v/>
          </cell>
        </row>
        <row r="2061">
          <cell r="J2061" t="str">
            <v/>
          </cell>
        </row>
        <row r="2062">
          <cell r="J2062" t="str">
            <v/>
          </cell>
        </row>
        <row r="2063">
          <cell r="J2063" t="str">
            <v/>
          </cell>
        </row>
        <row r="2064">
          <cell r="J2064" t="str">
            <v/>
          </cell>
        </row>
        <row r="2065">
          <cell r="J2065" t="str">
            <v/>
          </cell>
        </row>
        <row r="2066">
          <cell r="J2066" t="str">
            <v/>
          </cell>
        </row>
        <row r="2067">
          <cell r="J2067" t="str">
            <v/>
          </cell>
        </row>
        <row r="2068">
          <cell r="J2068" t="str">
            <v/>
          </cell>
        </row>
        <row r="2069">
          <cell r="J2069" t="str">
            <v/>
          </cell>
        </row>
        <row r="2070">
          <cell r="J2070" t="str">
            <v/>
          </cell>
        </row>
        <row r="2071">
          <cell r="J2071" t="str">
            <v/>
          </cell>
        </row>
        <row r="2072">
          <cell r="J2072" t="str">
            <v/>
          </cell>
        </row>
        <row r="2073">
          <cell r="J2073" t="str">
            <v/>
          </cell>
        </row>
        <row r="2074">
          <cell r="J2074" t="str">
            <v/>
          </cell>
        </row>
        <row r="2075">
          <cell r="J2075" t="str">
            <v/>
          </cell>
        </row>
        <row r="2076">
          <cell r="J2076" t="str">
            <v/>
          </cell>
        </row>
        <row r="2077">
          <cell r="J2077" t="str">
            <v/>
          </cell>
        </row>
        <row r="2078">
          <cell r="J2078" t="str">
            <v/>
          </cell>
        </row>
        <row r="2079">
          <cell r="J2079" t="str">
            <v/>
          </cell>
        </row>
        <row r="2080">
          <cell r="J2080" t="str">
            <v/>
          </cell>
        </row>
        <row r="2081">
          <cell r="J2081" t="str">
            <v/>
          </cell>
        </row>
        <row r="2082">
          <cell r="J2082" t="str">
            <v/>
          </cell>
        </row>
        <row r="2083">
          <cell r="J2083" t="str">
            <v/>
          </cell>
        </row>
        <row r="2084">
          <cell r="J2084" t="str">
            <v/>
          </cell>
        </row>
        <row r="2085">
          <cell r="J2085" t="str">
            <v/>
          </cell>
        </row>
        <row r="2086">
          <cell r="J2086" t="str">
            <v/>
          </cell>
        </row>
        <row r="2087">
          <cell r="J2087" t="str">
            <v/>
          </cell>
        </row>
        <row r="2088">
          <cell r="J2088" t="str">
            <v/>
          </cell>
        </row>
        <row r="2089">
          <cell r="J2089" t="str">
            <v/>
          </cell>
        </row>
        <row r="2090">
          <cell r="J2090" t="str">
            <v/>
          </cell>
        </row>
        <row r="2091">
          <cell r="J2091" t="str">
            <v/>
          </cell>
        </row>
        <row r="2092">
          <cell r="J2092" t="str">
            <v/>
          </cell>
        </row>
        <row r="2093">
          <cell r="J2093" t="str">
            <v/>
          </cell>
        </row>
        <row r="2094">
          <cell r="J2094" t="str">
            <v/>
          </cell>
        </row>
        <row r="2095">
          <cell r="J2095" t="str">
            <v/>
          </cell>
        </row>
        <row r="2096">
          <cell r="J2096" t="str">
            <v/>
          </cell>
        </row>
        <row r="2097">
          <cell r="J2097" t="str">
            <v/>
          </cell>
        </row>
        <row r="2098">
          <cell r="J2098" t="str">
            <v/>
          </cell>
        </row>
        <row r="2099">
          <cell r="J2099" t="str">
            <v/>
          </cell>
        </row>
        <row r="2100">
          <cell r="J2100" t="str">
            <v/>
          </cell>
        </row>
        <row r="2101">
          <cell r="J2101" t="str">
            <v/>
          </cell>
        </row>
        <row r="2102">
          <cell r="J2102" t="str">
            <v/>
          </cell>
        </row>
        <row r="2103">
          <cell r="J2103" t="str">
            <v/>
          </cell>
        </row>
        <row r="2104">
          <cell r="J2104" t="str">
            <v/>
          </cell>
        </row>
        <row r="2105">
          <cell r="J2105" t="str">
            <v/>
          </cell>
        </row>
        <row r="2106">
          <cell r="J2106" t="str">
            <v/>
          </cell>
        </row>
        <row r="2107">
          <cell r="J2107" t="str">
            <v/>
          </cell>
        </row>
        <row r="2108">
          <cell r="J2108" t="str">
            <v/>
          </cell>
        </row>
        <row r="2109">
          <cell r="J2109" t="str">
            <v/>
          </cell>
        </row>
        <row r="2110">
          <cell r="J2110" t="str">
            <v/>
          </cell>
        </row>
        <row r="2111">
          <cell r="J2111" t="str">
            <v/>
          </cell>
        </row>
        <row r="2112">
          <cell r="J2112" t="str">
            <v/>
          </cell>
        </row>
        <row r="2113">
          <cell r="J2113" t="str">
            <v/>
          </cell>
        </row>
        <row r="2114">
          <cell r="J2114" t="str">
            <v/>
          </cell>
        </row>
        <row r="2115">
          <cell r="J2115" t="str">
            <v/>
          </cell>
        </row>
        <row r="2116">
          <cell r="J2116" t="str">
            <v/>
          </cell>
        </row>
        <row r="2117">
          <cell r="J2117" t="str">
            <v/>
          </cell>
        </row>
        <row r="2118">
          <cell r="J2118" t="str">
            <v/>
          </cell>
        </row>
        <row r="2119">
          <cell r="J2119" t="str">
            <v/>
          </cell>
        </row>
        <row r="2120">
          <cell r="J2120" t="str">
            <v/>
          </cell>
        </row>
        <row r="2121">
          <cell r="J2121" t="str">
            <v/>
          </cell>
        </row>
        <row r="2122">
          <cell r="J2122" t="str">
            <v/>
          </cell>
        </row>
        <row r="2123">
          <cell r="J2123" t="str">
            <v/>
          </cell>
        </row>
        <row r="2124">
          <cell r="J2124" t="str">
            <v/>
          </cell>
        </row>
        <row r="2125">
          <cell r="J2125" t="str">
            <v/>
          </cell>
        </row>
        <row r="2126">
          <cell r="J2126" t="str">
            <v/>
          </cell>
        </row>
        <row r="2127">
          <cell r="J2127" t="str">
            <v/>
          </cell>
        </row>
        <row r="2128">
          <cell r="J2128" t="str">
            <v/>
          </cell>
        </row>
        <row r="2129">
          <cell r="J2129" t="str">
            <v/>
          </cell>
        </row>
        <row r="2130">
          <cell r="J2130" t="str">
            <v/>
          </cell>
        </row>
        <row r="2131">
          <cell r="J2131" t="str">
            <v/>
          </cell>
        </row>
        <row r="2132">
          <cell r="J2132" t="str">
            <v/>
          </cell>
        </row>
        <row r="2133">
          <cell r="J2133" t="str">
            <v/>
          </cell>
        </row>
        <row r="2134">
          <cell r="J2134" t="str">
            <v/>
          </cell>
        </row>
        <row r="2135">
          <cell r="J2135" t="str">
            <v/>
          </cell>
        </row>
        <row r="2136">
          <cell r="J2136" t="str">
            <v/>
          </cell>
        </row>
        <row r="2137">
          <cell r="J2137" t="str">
            <v/>
          </cell>
        </row>
        <row r="2138">
          <cell r="J2138" t="str">
            <v/>
          </cell>
        </row>
        <row r="2139">
          <cell r="J2139" t="str">
            <v/>
          </cell>
        </row>
        <row r="2140">
          <cell r="J2140" t="str">
            <v/>
          </cell>
        </row>
        <row r="2141">
          <cell r="J2141" t="str">
            <v/>
          </cell>
        </row>
        <row r="2142">
          <cell r="J2142" t="str">
            <v/>
          </cell>
        </row>
        <row r="2143">
          <cell r="J2143" t="str">
            <v/>
          </cell>
        </row>
        <row r="2144">
          <cell r="J2144" t="str">
            <v/>
          </cell>
        </row>
        <row r="2145">
          <cell r="J2145" t="str">
            <v/>
          </cell>
        </row>
        <row r="2146">
          <cell r="J2146" t="str">
            <v/>
          </cell>
        </row>
        <row r="2147">
          <cell r="J2147" t="str">
            <v/>
          </cell>
        </row>
        <row r="2148">
          <cell r="J2148" t="str">
            <v/>
          </cell>
        </row>
        <row r="2149">
          <cell r="J2149" t="str">
            <v/>
          </cell>
        </row>
        <row r="2150">
          <cell r="J2150" t="str">
            <v/>
          </cell>
        </row>
        <row r="2151">
          <cell r="J2151" t="str">
            <v/>
          </cell>
        </row>
        <row r="2152">
          <cell r="J2152" t="str">
            <v/>
          </cell>
        </row>
        <row r="2153">
          <cell r="J2153" t="str">
            <v/>
          </cell>
        </row>
        <row r="2154">
          <cell r="J2154" t="str">
            <v/>
          </cell>
        </row>
        <row r="2155">
          <cell r="J2155" t="str">
            <v/>
          </cell>
        </row>
        <row r="2156">
          <cell r="J2156" t="str">
            <v/>
          </cell>
        </row>
        <row r="2157">
          <cell r="J2157" t="str">
            <v/>
          </cell>
        </row>
        <row r="2158">
          <cell r="J2158" t="str">
            <v/>
          </cell>
        </row>
        <row r="2159">
          <cell r="J2159" t="str">
            <v/>
          </cell>
        </row>
        <row r="2160">
          <cell r="J2160" t="str">
            <v/>
          </cell>
        </row>
        <row r="2161">
          <cell r="J2161" t="str">
            <v/>
          </cell>
        </row>
        <row r="2162">
          <cell r="J2162" t="str">
            <v/>
          </cell>
        </row>
        <row r="2163">
          <cell r="J2163" t="str">
            <v/>
          </cell>
        </row>
        <row r="2164">
          <cell r="J2164" t="str">
            <v/>
          </cell>
        </row>
        <row r="2165">
          <cell r="J2165" t="str">
            <v/>
          </cell>
        </row>
        <row r="2166">
          <cell r="J2166" t="str">
            <v/>
          </cell>
        </row>
        <row r="2167">
          <cell r="J2167" t="str">
            <v/>
          </cell>
        </row>
        <row r="2168">
          <cell r="J2168" t="str">
            <v/>
          </cell>
        </row>
        <row r="2169">
          <cell r="J2169" t="str">
            <v/>
          </cell>
        </row>
        <row r="2170">
          <cell r="J2170" t="str">
            <v/>
          </cell>
        </row>
        <row r="2171">
          <cell r="J2171" t="str">
            <v/>
          </cell>
        </row>
        <row r="2172">
          <cell r="J2172" t="str">
            <v/>
          </cell>
        </row>
        <row r="2173">
          <cell r="J2173" t="str">
            <v/>
          </cell>
        </row>
        <row r="2174">
          <cell r="J2174" t="str">
            <v/>
          </cell>
        </row>
        <row r="2175">
          <cell r="J2175" t="str">
            <v/>
          </cell>
        </row>
        <row r="2176">
          <cell r="J2176" t="str">
            <v/>
          </cell>
        </row>
        <row r="2177">
          <cell r="J2177" t="str">
            <v/>
          </cell>
        </row>
        <row r="2178">
          <cell r="J2178" t="str">
            <v/>
          </cell>
        </row>
        <row r="2179">
          <cell r="J2179" t="str">
            <v/>
          </cell>
        </row>
        <row r="2180">
          <cell r="J2180" t="str">
            <v/>
          </cell>
        </row>
        <row r="2181">
          <cell r="J2181" t="str">
            <v/>
          </cell>
        </row>
        <row r="2182">
          <cell r="J2182" t="str">
            <v/>
          </cell>
        </row>
        <row r="2183">
          <cell r="J2183" t="str">
            <v/>
          </cell>
        </row>
        <row r="2184">
          <cell r="J2184" t="str">
            <v/>
          </cell>
        </row>
        <row r="2185">
          <cell r="J2185" t="str">
            <v/>
          </cell>
        </row>
        <row r="2186">
          <cell r="J2186" t="str">
            <v/>
          </cell>
        </row>
        <row r="2187">
          <cell r="J2187" t="str">
            <v/>
          </cell>
        </row>
        <row r="2188">
          <cell r="J2188" t="str">
            <v/>
          </cell>
        </row>
        <row r="2189">
          <cell r="J2189" t="str">
            <v/>
          </cell>
        </row>
        <row r="2190">
          <cell r="J2190" t="str">
            <v/>
          </cell>
        </row>
        <row r="2191">
          <cell r="J2191" t="str">
            <v/>
          </cell>
        </row>
        <row r="2192">
          <cell r="J2192" t="str">
            <v/>
          </cell>
        </row>
        <row r="2193">
          <cell r="J2193" t="str">
            <v/>
          </cell>
        </row>
        <row r="2194">
          <cell r="J2194" t="str">
            <v/>
          </cell>
        </row>
        <row r="2195">
          <cell r="J2195" t="str">
            <v/>
          </cell>
        </row>
        <row r="2196">
          <cell r="J2196" t="str">
            <v/>
          </cell>
        </row>
        <row r="2197">
          <cell r="J2197" t="str">
            <v/>
          </cell>
        </row>
        <row r="2198">
          <cell r="J2198" t="str">
            <v/>
          </cell>
        </row>
        <row r="2199">
          <cell r="J2199" t="str">
            <v/>
          </cell>
        </row>
        <row r="2200">
          <cell r="J2200" t="str">
            <v/>
          </cell>
        </row>
        <row r="2201">
          <cell r="J2201" t="str">
            <v/>
          </cell>
        </row>
        <row r="2202">
          <cell r="J2202" t="str">
            <v/>
          </cell>
        </row>
        <row r="2203">
          <cell r="J2203" t="str">
            <v/>
          </cell>
        </row>
        <row r="2204">
          <cell r="J2204" t="str">
            <v/>
          </cell>
        </row>
        <row r="2205">
          <cell r="J2205" t="str">
            <v/>
          </cell>
        </row>
        <row r="2206">
          <cell r="J2206" t="str">
            <v/>
          </cell>
        </row>
        <row r="2207">
          <cell r="J2207" t="str">
            <v/>
          </cell>
        </row>
        <row r="2208">
          <cell r="J2208" t="str">
            <v/>
          </cell>
        </row>
        <row r="2209">
          <cell r="J2209" t="str">
            <v/>
          </cell>
        </row>
        <row r="2210">
          <cell r="J2210" t="str">
            <v/>
          </cell>
        </row>
        <row r="2211">
          <cell r="J2211" t="str">
            <v/>
          </cell>
        </row>
        <row r="2212">
          <cell r="J2212" t="str">
            <v/>
          </cell>
        </row>
        <row r="2213">
          <cell r="J2213" t="str">
            <v/>
          </cell>
        </row>
        <row r="2214">
          <cell r="J2214" t="str">
            <v/>
          </cell>
        </row>
        <row r="2215">
          <cell r="J2215" t="str">
            <v/>
          </cell>
        </row>
        <row r="2216">
          <cell r="J2216" t="str">
            <v/>
          </cell>
        </row>
        <row r="2217">
          <cell r="J2217" t="str">
            <v/>
          </cell>
        </row>
        <row r="2218">
          <cell r="J2218" t="str">
            <v/>
          </cell>
        </row>
        <row r="2219">
          <cell r="J2219" t="str">
            <v/>
          </cell>
        </row>
        <row r="2220">
          <cell r="J2220" t="str">
            <v/>
          </cell>
        </row>
        <row r="2221">
          <cell r="J2221" t="str">
            <v/>
          </cell>
        </row>
        <row r="2222">
          <cell r="J2222" t="str">
            <v/>
          </cell>
        </row>
        <row r="2223">
          <cell r="J2223" t="str">
            <v/>
          </cell>
        </row>
        <row r="2224">
          <cell r="J2224" t="str">
            <v/>
          </cell>
        </row>
        <row r="2225">
          <cell r="J2225" t="str">
            <v/>
          </cell>
        </row>
        <row r="2226">
          <cell r="J2226" t="str">
            <v/>
          </cell>
        </row>
        <row r="2227">
          <cell r="J2227" t="str">
            <v/>
          </cell>
        </row>
        <row r="2228">
          <cell r="J2228" t="str">
            <v/>
          </cell>
        </row>
        <row r="2229">
          <cell r="J2229" t="str">
            <v/>
          </cell>
        </row>
        <row r="2230">
          <cell r="J2230" t="str">
            <v/>
          </cell>
        </row>
        <row r="2231">
          <cell r="J2231" t="str">
            <v/>
          </cell>
        </row>
        <row r="2232">
          <cell r="J2232" t="str">
            <v/>
          </cell>
        </row>
        <row r="2233">
          <cell r="J2233" t="str">
            <v/>
          </cell>
        </row>
        <row r="2234">
          <cell r="J2234" t="str">
            <v/>
          </cell>
        </row>
        <row r="2235">
          <cell r="J2235" t="str">
            <v/>
          </cell>
        </row>
        <row r="2236">
          <cell r="J2236" t="str">
            <v/>
          </cell>
        </row>
        <row r="2237">
          <cell r="J2237" t="str">
            <v/>
          </cell>
        </row>
        <row r="2238">
          <cell r="J2238" t="str">
            <v/>
          </cell>
        </row>
        <row r="2239">
          <cell r="J2239" t="str">
            <v/>
          </cell>
        </row>
        <row r="2240">
          <cell r="J2240" t="str">
            <v/>
          </cell>
        </row>
        <row r="2241">
          <cell r="J2241" t="str">
            <v/>
          </cell>
        </row>
        <row r="2242">
          <cell r="J2242" t="str">
            <v/>
          </cell>
        </row>
        <row r="2243">
          <cell r="J2243" t="str">
            <v/>
          </cell>
        </row>
        <row r="2244">
          <cell r="J2244" t="str">
            <v/>
          </cell>
        </row>
        <row r="2245">
          <cell r="J2245" t="str">
            <v>x</v>
          </cell>
        </row>
        <row r="2246">
          <cell r="J2246" t="str">
            <v>x</v>
          </cell>
        </row>
        <row r="2247">
          <cell r="J2247" t="str">
            <v>x</v>
          </cell>
        </row>
        <row r="2248">
          <cell r="J2248" t="str">
            <v>x</v>
          </cell>
        </row>
        <row r="2249">
          <cell r="J2249" t="str">
            <v>x</v>
          </cell>
        </row>
        <row r="2250">
          <cell r="J2250" t="str">
            <v>x</v>
          </cell>
        </row>
        <row r="2251">
          <cell r="J2251" t="str">
            <v>x</v>
          </cell>
        </row>
        <row r="2252">
          <cell r="J2252" t="str">
            <v>x</v>
          </cell>
        </row>
        <row r="2253">
          <cell r="J2253" t="str">
            <v>x</v>
          </cell>
        </row>
        <row r="2254">
          <cell r="J2254" t="str">
            <v/>
          </cell>
        </row>
        <row r="2255">
          <cell r="J2255" t="str">
            <v/>
          </cell>
        </row>
        <row r="2256">
          <cell r="J2256" t="str">
            <v/>
          </cell>
        </row>
        <row r="2257">
          <cell r="J2257" t="str">
            <v/>
          </cell>
        </row>
        <row r="2258">
          <cell r="J2258" t="str">
            <v/>
          </cell>
        </row>
        <row r="2259">
          <cell r="J2259" t="str">
            <v/>
          </cell>
        </row>
        <row r="2260">
          <cell r="J2260" t="str">
            <v/>
          </cell>
        </row>
        <row r="2261">
          <cell r="J2261" t="str">
            <v/>
          </cell>
        </row>
        <row r="2262">
          <cell r="J2262" t="str">
            <v/>
          </cell>
        </row>
        <row r="2263">
          <cell r="J2263" t="str">
            <v/>
          </cell>
        </row>
        <row r="2264">
          <cell r="J2264" t="str">
            <v/>
          </cell>
        </row>
        <row r="2265">
          <cell r="J2265" t="str">
            <v/>
          </cell>
        </row>
        <row r="2266">
          <cell r="J2266" t="str">
            <v/>
          </cell>
        </row>
        <row r="2267">
          <cell r="J2267" t="str">
            <v/>
          </cell>
        </row>
        <row r="2268">
          <cell r="J2268" t="str">
            <v/>
          </cell>
        </row>
        <row r="2269">
          <cell r="J2269" t="str">
            <v/>
          </cell>
        </row>
        <row r="2270">
          <cell r="J2270" t="str">
            <v/>
          </cell>
        </row>
        <row r="2271">
          <cell r="J2271" t="str">
            <v/>
          </cell>
        </row>
        <row r="2272">
          <cell r="J2272" t="str">
            <v/>
          </cell>
        </row>
        <row r="2273">
          <cell r="J2273" t="str">
            <v/>
          </cell>
        </row>
        <row r="2274">
          <cell r="J2274" t="str">
            <v/>
          </cell>
        </row>
        <row r="2275">
          <cell r="J2275" t="str">
            <v/>
          </cell>
        </row>
        <row r="2276">
          <cell r="J2276" t="str">
            <v/>
          </cell>
        </row>
        <row r="2277">
          <cell r="J2277" t="str">
            <v/>
          </cell>
        </row>
        <row r="2278">
          <cell r="J2278" t="str">
            <v/>
          </cell>
        </row>
        <row r="2279">
          <cell r="J2279" t="str">
            <v/>
          </cell>
        </row>
        <row r="2280">
          <cell r="J2280" t="str">
            <v/>
          </cell>
        </row>
        <row r="2281">
          <cell r="J2281" t="str">
            <v/>
          </cell>
        </row>
        <row r="2282">
          <cell r="J2282" t="str">
            <v/>
          </cell>
        </row>
        <row r="2283">
          <cell r="J2283" t="str">
            <v/>
          </cell>
        </row>
        <row r="2284">
          <cell r="J2284" t="str">
            <v/>
          </cell>
        </row>
        <row r="2285">
          <cell r="J2285" t="str">
            <v/>
          </cell>
        </row>
        <row r="2286">
          <cell r="J2286" t="str">
            <v/>
          </cell>
        </row>
        <row r="2287">
          <cell r="J2287" t="str">
            <v/>
          </cell>
        </row>
        <row r="2288">
          <cell r="J2288" t="str">
            <v/>
          </cell>
        </row>
        <row r="2289">
          <cell r="J2289" t="str">
            <v/>
          </cell>
        </row>
        <row r="2290">
          <cell r="J2290" t="str">
            <v/>
          </cell>
        </row>
        <row r="2291">
          <cell r="J2291" t="str">
            <v/>
          </cell>
        </row>
        <row r="2292">
          <cell r="J2292" t="str">
            <v/>
          </cell>
        </row>
        <row r="2293">
          <cell r="J2293" t="str">
            <v/>
          </cell>
        </row>
        <row r="2294">
          <cell r="J2294" t="str">
            <v/>
          </cell>
        </row>
        <row r="2295">
          <cell r="J2295" t="str">
            <v/>
          </cell>
        </row>
        <row r="2296">
          <cell r="J2296" t="str">
            <v/>
          </cell>
        </row>
        <row r="2297">
          <cell r="J2297" t="str">
            <v/>
          </cell>
        </row>
        <row r="2298">
          <cell r="J2298" t="str">
            <v/>
          </cell>
        </row>
        <row r="2299">
          <cell r="J2299" t="str">
            <v/>
          </cell>
        </row>
        <row r="2300">
          <cell r="J2300" t="str">
            <v/>
          </cell>
        </row>
        <row r="2301">
          <cell r="J2301" t="str">
            <v/>
          </cell>
        </row>
        <row r="2302">
          <cell r="J2302" t="str">
            <v/>
          </cell>
        </row>
        <row r="2303">
          <cell r="J2303" t="str">
            <v/>
          </cell>
        </row>
        <row r="2304">
          <cell r="J2304" t="str">
            <v/>
          </cell>
        </row>
        <row r="2305">
          <cell r="J2305" t="str">
            <v/>
          </cell>
        </row>
        <row r="2306">
          <cell r="J2306" t="str">
            <v/>
          </cell>
        </row>
        <row r="2307">
          <cell r="J2307" t="str">
            <v/>
          </cell>
        </row>
        <row r="2308">
          <cell r="J2308" t="str">
            <v/>
          </cell>
        </row>
        <row r="2309">
          <cell r="J2309" t="str">
            <v/>
          </cell>
        </row>
        <row r="2310">
          <cell r="J2310" t="str">
            <v/>
          </cell>
        </row>
        <row r="2311">
          <cell r="J2311" t="str">
            <v/>
          </cell>
        </row>
        <row r="2312">
          <cell r="J2312" t="str">
            <v/>
          </cell>
        </row>
        <row r="2313">
          <cell r="J2313" t="str">
            <v/>
          </cell>
        </row>
        <row r="2314">
          <cell r="J2314" t="str">
            <v/>
          </cell>
        </row>
        <row r="2315">
          <cell r="J2315" t="str">
            <v/>
          </cell>
        </row>
        <row r="2316">
          <cell r="J2316" t="str">
            <v/>
          </cell>
        </row>
        <row r="2317">
          <cell r="J2317" t="str">
            <v/>
          </cell>
        </row>
        <row r="2318">
          <cell r="J2318" t="str">
            <v/>
          </cell>
        </row>
        <row r="2319">
          <cell r="J2319" t="str">
            <v/>
          </cell>
        </row>
        <row r="2320">
          <cell r="J2320" t="str">
            <v/>
          </cell>
        </row>
        <row r="2321">
          <cell r="J2321" t="str">
            <v/>
          </cell>
        </row>
        <row r="2322">
          <cell r="J2322" t="str">
            <v/>
          </cell>
        </row>
        <row r="2323">
          <cell r="J2323" t="str">
            <v/>
          </cell>
        </row>
        <row r="2324">
          <cell r="J2324" t="str">
            <v/>
          </cell>
        </row>
        <row r="2325">
          <cell r="J2325" t="str">
            <v/>
          </cell>
        </row>
        <row r="2326">
          <cell r="J2326" t="str">
            <v/>
          </cell>
        </row>
        <row r="2327">
          <cell r="J2327" t="str">
            <v/>
          </cell>
        </row>
        <row r="2328">
          <cell r="J2328" t="str">
            <v/>
          </cell>
        </row>
        <row r="2329">
          <cell r="J2329" t="str">
            <v/>
          </cell>
        </row>
        <row r="2330">
          <cell r="J2330" t="str">
            <v/>
          </cell>
        </row>
        <row r="2331">
          <cell r="J2331" t="str">
            <v/>
          </cell>
        </row>
        <row r="2332">
          <cell r="J2332" t="str">
            <v/>
          </cell>
        </row>
        <row r="2333">
          <cell r="J2333" t="str">
            <v/>
          </cell>
        </row>
        <row r="2334">
          <cell r="J2334" t="str">
            <v/>
          </cell>
        </row>
        <row r="2335">
          <cell r="J2335" t="str">
            <v/>
          </cell>
        </row>
        <row r="2336">
          <cell r="J2336" t="str">
            <v/>
          </cell>
        </row>
        <row r="2337">
          <cell r="J2337" t="str">
            <v/>
          </cell>
        </row>
        <row r="2338">
          <cell r="J2338" t="str">
            <v/>
          </cell>
        </row>
        <row r="2339">
          <cell r="J2339" t="str">
            <v/>
          </cell>
        </row>
        <row r="2340">
          <cell r="J2340" t="str">
            <v/>
          </cell>
        </row>
        <row r="2341">
          <cell r="J2341" t="str">
            <v/>
          </cell>
        </row>
        <row r="2342">
          <cell r="J2342" t="str">
            <v/>
          </cell>
        </row>
        <row r="2343">
          <cell r="J2343" t="str">
            <v/>
          </cell>
        </row>
        <row r="2344">
          <cell r="J2344" t="str">
            <v/>
          </cell>
        </row>
        <row r="2345">
          <cell r="J2345" t="str">
            <v/>
          </cell>
        </row>
        <row r="2346">
          <cell r="J2346" t="str">
            <v/>
          </cell>
        </row>
        <row r="2347">
          <cell r="J2347" t="str">
            <v/>
          </cell>
        </row>
        <row r="2348">
          <cell r="J2348" t="str">
            <v/>
          </cell>
        </row>
        <row r="2349">
          <cell r="J2349" t="str">
            <v/>
          </cell>
        </row>
        <row r="2350">
          <cell r="J2350" t="str">
            <v/>
          </cell>
        </row>
        <row r="2351">
          <cell r="J2351" t="str">
            <v/>
          </cell>
        </row>
        <row r="2352">
          <cell r="J2352" t="str">
            <v/>
          </cell>
        </row>
        <row r="2353">
          <cell r="J2353" t="str">
            <v/>
          </cell>
        </row>
        <row r="2354">
          <cell r="J2354" t="str">
            <v/>
          </cell>
        </row>
        <row r="2355">
          <cell r="J2355" t="str">
            <v/>
          </cell>
        </row>
        <row r="2356">
          <cell r="J2356" t="str">
            <v/>
          </cell>
        </row>
        <row r="2357">
          <cell r="J2357" t="str">
            <v/>
          </cell>
        </row>
        <row r="2358">
          <cell r="J2358" t="str">
            <v/>
          </cell>
        </row>
        <row r="2359">
          <cell r="J2359" t="str">
            <v/>
          </cell>
        </row>
        <row r="2360">
          <cell r="J2360" t="str">
            <v/>
          </cell>
        </row>
        <row r="2361">
          <cell r="J2361" t="str">
            <v/>
          </cell>
        </row>
        <row r="2362">
          <cell r="J2362" t="str">
            <v/>
          </cell>
        </row>
        <row r="2363">
          <cell r="J2363" t="str">
            <v/>
          </cell>
        </row>
        <row r="2364">
          <cell r="J2364" t="str">
            <v/>
          </cell>
        </row>
        <row r="2365">
          <cell r="J2365" t="str">
            <v/>
          </cell>
        </row>
        <row r="2366">
          <cell r="J2366" t="str">
            <v/>
          </cell>
        </row>
        <row r="2367">
          <cell r="J2367" t="str">
            <v/>
          </cell>
        </row>
        <row r="2368">
          <cell r="J2368" t="str">
            <v/>
          </cell>
        </row>
        <row r="2369">
          <cell r="J2369" t="str">
            <v/>
          </cell>
        </row>
        <row r="2370">
          <cell r="J2370" t="str">
            <v/>
          </cell>
        </row>
        <row r="2371">
          <cell r="J2371" t="str">
            <v/>
          </cell>
        </row>
        <row r="2372">
          <cell r="J2372" t="str">
            <v/>
          </cell>
        </row>
        <row r="2373">
          <cell r="J2373" t="str">
            <v/>
          </cell>
        </row>
        <row r="2374">
          <cell r="J2374" t="str">
            <v/>
          </cell>
        </row>
        <row r="2375">
          <cell r="J2375" t="str">
            <v/>
          </cell>
        </row>
        <row r="2376">
          <cell r="J2376" t="str">
            <v/>
          </cell>
        </row>
        <row r="2377">
          <cell r="J2377" t="str">
            <v/>
          </cell>
        </row>
        <row r="2378">
          <cell r="J2378" t="str">
            <v/>
          </cell>
        </row>
        <row r="2379">
          <cell r="J2379" t="str">
            <v/>
          </cell>
        </row>
        <row r="2380">
          <cell r="J2380" t="str">
            <v/>
          </cell>
        </row>
        <row r="2381">
          <cell r="J2381" t="str">
            <v/>
          </cell>
        </row>
        <row r="2382">
          <cell r="J2382" t="str">
            <v/>
          </cell>
        </row>
        <row r="2383">
          <cell r="J2383" t="str">
            <v/>
          </cell>
        </row>
        <row r="2384">
          <cell r="J2384" t="str">
            <v/>
          </cell>
        </row>
        <row r="2385">
          <cell r="J2385" t="str">
            <v/>
          </cell>
        </row>
        <row r="2386">
          <cell r="J2386" t="str">
            <v/>
          </cell>
        </row>
        <row r="2387">
          <cell r="J2387" t="str">
            <v/>
          </cell>
        </row>
        <row r="2388">
          <cell r="J2388" t="str">
            <v/>
          </cell>
        </row>
        <row r="2389">
          <cell r="J2389" t="str">
            <v/>
          </cell>
        </row>
        <row r="2390">
          <cell r="J2390" t="str">
            <v/>
          </cell>
        </row>
        <row r="2391">
          <cell r="J2391" t="str">
            <v/>
          </cell>
        </row>
        <row r="2392">
          <cell r="J2392" t="str">
            <v/>
          </cell>
        </row>
        <row r="2393">
          <cell r="J2393" t="str">
            <v/>
          </cell>
        </row>
        <row r="2394">
          <cell r="J2394" t="str">
            <v/>
          </cell>
        </row>
        <row r="2395">
          <cell r="J2395" t="str">
            <v/>
          </cell>
        </row>
        <row r="2396">
          <cell r="J2396" t="str">
            <v/>
          </cell>
        </row>
        <row r="2397">
          <cell r="J2397" t="str">
            <v/>
          </cell>
        </row>
        <row r="2398">
          <cell r="J2398" t="str">
            <v/>
          </cell>
        </row>
        <row r="2399">
          <cell r="J2399" t="str">
            <v/>
          </cell>
        </row>
        <row r="2400">
          <cell r="J2400" t="str">
            <v/>
          </cell>
        </row>
        <row r="2401">
          <cell r="J2401" t="str">
            <v/>
          </cell>
        </row>
        <row r="2402">
          <cell r="J2402" t="str">
            <v/>
          </cell>
        </row>
        <row r="2403">
          <cell r="J2403" t="str">
            <v/>
          </cell>
        </row>
        <row r="2404">
          <cell r="J2404" t="str">
            <v/>
          </cell>
        </row>
        <row r="2405">
          <cell r="J2405" t="str">
            <v/>
          </cell>
        </row>
        <row r="2406">
          <cell r="J2406" t="str">
            <v/>
          </cell>
        </row>
        <row r="2407">
          <cell r="J2407" t="str">
            <v/>
          </cell>
        </row>
        <row r="2408">
          <cell r="J2408" t="str">
            <v/>
          </cell>
        </row>
        <row r="2409">
          <cell r="J2409" t="str">
            <v/>
          </cell>
        </row>
        <row r="2410">
          <cell r="J2410" t="str">
            <v/>
          </cell>
        </row>
        <row r="2411">
          <cell r="J2411" t="str">
            <v/>
          </cell>
        </row>
        <row r="2412">
          <cell r="J2412" t="str">
            <v/>
          </cell>
        </row>
        <row r="2413">
          <cell r="J2413" t="str">
            <v/>
          </cell>
        </row>
        <row r="2414">
          <cell r="J2414" t="str">
            <v/>
          </cell>
        </row>
        <row r="2415">
          <cell r="J2415" t="str">
            <v/>
          </cell>
        </row>
        <row r="2416">
          <cell r="J2416" t="str">
            <v/>
          </cell>
        </row>
        <row r="2417">
          <cell r="J2417" t="str">
            <v/>
          </cell>
        </row>
        <row r="2418">
          <cell r="J2418" t="str">
            <v/>
          </cell>
        </row>
        <row r="2419">
          <cell r="J2419" t="str">
            <v/>
          </cell>
        </row>
        <row r="2420">
          <cell r="J2420" t="str">
            <v/>
          </cell>
        </row>
        <row r="2421">
          <cell r="J2421" t="str">
            <v/>
          </cell>
        </row>
        <row r="2422">
          <cell r="J2422" t="str">
            <v/>
          </cell>
        </row>
        <row r="2423">
          <cell r="J2423" t="str">
            <v/>
          </cell>
        </row>
        <row r="2424">
          <cell r="J2424" t="str">
            <v/>
          </cell>
        </row>
        <row r="2425">
          <cell r="J2425" t="str">
            <v/>
          </cell>
        </row>
        <row r="2426">
          <cell r="J2426" t="str">
            <v/>
          </cell>
        </row>
        <row r="2427">
          <cell r="J2427" t="str">
            <v/>
          </cell>
        </row>
        <row r="2428">
          <cell r="J2428" t="str">
            <v/>
          </cell>
        </row>
        <row r="2429">
          <cell r="J2429" t="str">
            <v/>
          </cell>
        </row>
        <row r="2430">
          <cell r="J2430" t="str">
            <v/>
          </cell>
        </row>
        <row r="2431">
          <cell r="J2431" t="str">
            <v/>
          </cell>
        </row>
        <row r="2432">
          <cell r="J2432" t="str">
            <v/>
          </cell>
        </row>
        <row r="2433">
          <cell r="J2433" t="str">
            <v/>
          </cell>
        </row>
        <row r="2434">
          <cell r="J2434" t="str">
            <v/>
          </cell>
        </row>
        <row r="2435">
          <cell r="J2435" t="str">
            <v/>
          </cell>
        </row>
        <row r="2436">
          <cell r="J2436" t="str">
            <v/>
          </cell>
        </row>
        <row r="2437">
          <cell r="J2437" t="str">
            <v/>
          </cell>
        </row>
        <row r="2438">
          <cell r="J2438" t="str">
            <v/>
          </cell>
        </row>
        <row r="2439">
          <cell r="J2439" t="str">
            <v/>
          </cell>
        </row>
        <row r="2440">
          <cell r="J2440" t="str">
            <v/>
          </cell>
        </row>
        <row r="2441">
          <cell r="J2441" t="str">
            <v/>
          </cell>
        </row>
        <row r="2442">
          <cell r="J2442" t="str">
            <v/>
          </cell>
        </row>
        <row r="2443">
          <cell r="J2443" t="str">
            <v/>
          </cell>
        </row>
        <row r="2444">
          <cell r="J2444" t="str">
            <v/>
          </cell>
        </row>
        <row r="2445">
          <cell r="J2445" t="str">
            <v/>
          </cell>
        </row>
        <row r="2446">
          <cell r="J2446" t="str">
            <v/>
          </cell>
        </row>
        <row r="2447">
          <cell r="J2447" t="str">
            <v/>
          </cell>
        </row>
        <row r="2448">
          <cell r="J2448" t="str">
            <v/>
          </cell>
        </row>
        <row r="2449">
          <cell r="J2449" t="str">
            <v/>
          </cell>
        </row>
        <row r="2450">
          <cell r="J2450" t="str">
            <v/>
          </cell>
        </row>
        <row r="2451">
          <cell r="J2451" t="str">
            <v/>
          </cell>
        </row>
        <row r="2452">
          <cell r="J2452" t="str">
            <v/>
          </cell>
        </row>
        <row r="2453">
          <cell r="J2453" t="str">
            <v/>
          </cell>
        </row>
        <row r="2454">
          <cell r="J2454" t="str">
            <v/>
          </cell>
        </row>
        <row r="2455">
          <cell r="J2455" t="str">
            <v/>
          </cell>
        </row>
        <row r="2456">
          <cell r="J2456" t="str">
            <v/>
          </cell>
        </row>
        <row r="2457">
          <cell r="J2457" t="str">
            <v/>
          </cell>
        </row>
        <row r="2458">
          <cell r="J2458" t="str">
            <v/>
          </cell>
        </row>
        <row r="2459">
          <cell r="J2459" t="str">
            <v/>
          </cell>
        </row>
        <row r="2460">
          <cell r="J2460" t="str">
            <v/>
          </cell>
        </row>
        <row r="2461">
          <cell r="J2461" t="str">
            <v/>
          </cell>
        </row>
        <row r="2462">
          <cell r="J2462" t="str">
            <v/>
          </cell>
        </row>
        <row r="2463">
          <cell r="J2463" t="str">
            <v/>
          </cell>
        </row>
        <row r="2464">
          <cell r="J2464" t="str">
            <v/>
          </cell>
        </row>
        <row r="2465">
          <cell r="J2465" t="str">
            <v/>
          </cell>
        </row>
        <row r="2466">
          <cell r="J2466" t="str">
            <v/>
          </cell>
        </row>
        <row r="2467">
          <cell r="J2467" t="str">
            <v/>
          </cell>
        </row>
        <row r="2468">
          <cell r="J2468" t="str">
            <v/>
          </cell>
        </row>
        <row r="2469">
          <cell r="J2469" t="str">
            <v/>
          </cell>
        </row>
        <row r="2470">
          <cell r="J2470" t="str">
            <v/>
          </cell>
        </row>
        <row r="2471">
          <cell r="J2471" t="str">
            <v/>
          </cell>
        </row>
        <row r="2472">
          <cell r="J2472" t="str">
            <v/>
          </cell>
        </row>
        <row r="2473">
          <cell r="J2473" t="str">
            <v/>
          </cell>
        </row>
        <row r="2474">
          <cell r="J2474" t="str">
            <v/>
          </cell>
        </row>
        <row r="2475">
          <cell r="J2475" t="str">
            <v/>
          </cell>
        </row>
        <row r="2476">
          <cell r="J2476" t="str">
            <v/>
          </cell>
        </row>
        <row r="2477">
          <cell r="J2477" t="str">
            <v/>
          </cell>
        </row>
        <row r="2478">
          <cell r="J2478" t="str">
            <v/>
          </cell>
        </row>
        <row r="2479">
          <cell r="J2479" t="str">
            <v/>
          </cell>
        </row>
        <row r="2480">
          <cell r="J2480" t="str">
            <v/>
          </cell>
        </row>
        <row r="2481">
          <cell r="J2481" t="str">
            <v/>
          </cell>
        </row>
        <row r="2482">
          <cell r="J2482" t="str">
            <v/>
          </cell>
        </row>
        <row r="2483">
          <cell r="J2483" t="str">
            <v/>
          </cell>
        </row>
        <row r="2484">
          <cell r="J2484" t="str">
            <v/>
          </cell>
        </row>
        <row r="2485">
          <cell r="J2485" t="str">
            <v/>
          </cell>
        </row>
        <row r="2486">
          <cell r="J2486" t="str">
            <v/>
          </cell>
        </row>
        <row r="2487">
          <cell r="J2487" t="str">
            <v/>
          </cell>
        </row>
        <row r="2488">
          <cell r="J2488" t="str">
            <v/>
          </cell>
        </row>
        <row r="2489">
          <cell r="J2489" t="str">
            <v/>
          </cell>
        </row>
        <row r="2490">
          <cell r="J2490" t="str">
            <v/>
          </cell>
        </row>
        <row r="2491">
          <cell r="J2491" t="str">
            <v/>
          </cell>
        </row>
        <row r="2492">
          <cell r="J2492" t="str">
            <v/>
          </cell>
        </row>
        <row r="2493">
          <cell r="J2493" t="str">
            <v/>
          </cell>
        </row>
        <row r="2494">
          <cell r="J2494" t="str">
            <v/>
          </cell>
        </row>
        <row r="2495">
          <cell r="J2495" t="str">
            <v/>
          </cell>
        </row>
        <row r="2496">
          <cell r="J2496" t="str">
            <v/>
          </cell>
        </row>
        <row r="2497">
          <cell r="J2497" t="str">
            <v/>
          </cell>
        </row>
        <row r="2498">
          <cell r="J2498" t="str">
            <v/>
          </cell>
        </row>
        <row r="2499">
          <cell r="J2499" t="str">
            <v/>
          </cell>
        </row>
        <row r="2500">
          <cell r="J2500" t="str">
            <v/>
          </cell>
        </row>
        <row r="2501">
          <cell r="J2501" t="str">
            <v/>
          </cell>
        </row>
        <row r="2502">
          <cell r="J2502" t="str">
            <v/>
          </cell>
        </row>
        <row r="2503">
          <cell r="J2503" t="str">
            <v/>
          </cell>
        </row>
        <row r="2504">
          <cell r="J2504" t="str">
            <v/>
          </cell>
        </row>
        <row r="2505">
          <cell r="J2505" t="str">
            <v/>
          </cell>
        </row>
        <row r="2506">
          <cell r="J2506" t="str">
            <v/>
          </cell>
        </row>
        <row r="2507">
          <cell r="J2507" t="str">
            <v/>
          </cell>
        </row>
        <row r="2508">
          <cell r="J2508" t="str">
            <v/>
          </cell>
        </row>
        <row r="2509">
          <cell r="J2509" t="str">
            <v/>
          </cell>
        </row>
        <row r="2510">
          <cell r="J2510" t="str">
            <v/>
          </cell>
        </row>
        <row r="2511">
          <cell r="J2511" t="str">
            <v/>
          </cell>
        </row>
        <row r="2512">
          <cell r="J2512" t="str">
            <v/>
          </cell>
        </row>
        <row r="2513">
          <cell r="J2513" t="str">
            <v/>
          </cell>
        </row>
        <row r="2514">
          <cell r="J2514" t="str">
            <v/>
          </cell>
        </row>
        <row r="2515">
          <cell r="J2515" t="str">
            <v/>
          </cell>
        </row>
        <row r="2516">
          <cell r="J2516" t="str">
            <v/>
          </cell>
        </row>
        <row r="2517">
          <cell r="J2517" t="str">
            <v/>
          </cell>
        </row>
        <row r="2518">
          <cell r="J2518" t="str">
            <v/>
          </cell>
        </row>
        <row r="2519">
          <cell r="J2519" t="str">
            <v/>
          </cell>
        </row>
        <row r="2520">
          <cell r="J2520" t="str">
            <v/>
          </cell>
        </row>
        <row r="2521">
          <cell r="J2521" t="str">
            <v/>
          </cell>
        </row>
        <row r="2522">
          <cell r="J2522" t="str">
            <v/>
          </cell>
        </row>
        <row r="2523">
          <cell r="J2523" t="str">
            <v/>
          </cell>
        </row>
        <row r="2524">
          <cell r="J2524" t="str">
            <v/>
          </cell>
        </row>
        <row r="2525">
          <cell r="J2525" t="str">
            <v/>
          </cell>
        </row>
        <row r="2526">
          <cell r="J2526" t="str">
            <v/>
          </cell>
        </row>
        <row r="2527">
          <cell r="J2527" t="str">
            <v>x</v>
          </cell>
        </row>
        <row r="2528">
          <cell r="J2528" t="str">
            <v>x</v>
          </cell>
        </row>
        <row r="2529">
          <cell r="J2529" t="str">
            <v>x</v>
          </cell>
        </row>
        <row r="2530">
          <cell r="J2530" t="str">
            <v>x</v>
          </cell>
        </row>
        <row r="2531">
          <cell r="J2531" t="str">
            <v>x</v>
          </cell>
        </row>
        <row r="2532">
          <cell r="J2532" t="str">
            <v>x</v>
          </cell>
        </row>
        <row r="2533">
          <cell r="J2533" t="str">
            <v>x</v>
          </cell>
        </row>
        <row r="2534">
          <cell r="J2534" t="str">
            <v>x</v>
          </cell>
        </row>
        <row r="2535">
          <cell r="J2535" t="str">
            <v>x</v>
          </cell>
        </row>
        <row r="2536">
          <cell r="J2536" t="str">
            <v/>
          </cell>
        </row>
        <row r="2537">
          <cell r="J2537" t="str">
            <v/>
          </cell>
        </row>
        <row r="2538">
          <cell r="J2538" t="str">
            <v/>
          </cell>
        </row>
        <row r="2539">
          <cell r="J2539" t="str">
            <v/>
          </cell>
        </row>
        <row r="2540">
          <cell r="J2540" t="str">
            <v/>
          </cell>
        </row>
        <row r="2541">
          <cell r="J2541" t="str">
            <v/>
          </cell>
        </row>
        <row r="2542">
          <cell r="J2542" t="str">
            <v/>
          </cell>
        </row>
        <row r="2543">
          <cell r="J2543" t="str">
            <v/>
          </cell>
        </row>
        <row r="2544">
          <cell r="J2544" t="str">
            <v/>
          </cell>
        </row>
        <row r="2545">
          <cell r="J2545" t="str">
            <v/>
          </cell>
        </row>
        <row r="2546">
          <cell r="J2546" t="str">
            <v/>
          </cell>
        </row>
        <row r="2547">
          <cell r="J2547" t="str">
            <v/>
          </cell>
        </row>
        <row r="2548">
          <cell r="J2548" t="str">
            <v/>
          </cell>
        </row>
        <row r="2549">
          <cell r="J2549" t="str">
            <v/>
          </cell>
        </row>
        <row r="2550">
          <cell r="J2550" t="str">
            <v/>
          </cell>
        </row>
        <row r="2551">
          <cell r="J2551" t="str">
            <v/>
          </cell>
        </row>
        <row r="2552">
          <cell r="J2552" t="str">
            <v/>
          </cell>
        </row>
        <row r="2553">
          <cell r="J2553" t="str">
            <v/>
          </cell>
        </row>
        <row r="2554">
          <cell r="J2554" t="str">
            <v/>
          </cell>
        </row>
        <row r="2555">
          <cell r="J2555" t="str">
            <v/>
          </cell>
        </row>
        <row r="2556">
          <cell r="J2556" t="str">
            <v/>
          </cell>
        </row>
        <row r="2557">
          <cell r="J2557" t="str">
            <v/>
          </cell>
        </row>
        <row r="2558">
          <cell r="J2558" t="str">
            <v/>
          </cell>
        </row>
        <row r="2559">
          <cell r="J2559" t="str">
            <v/>
          </cell>
        </row>
        <row r="2560">
          <cell r="J2560" t="str">
            <v/>
          </cell>
        </row>
        <row r="2561">
          <cell r="J2561" t="str">
            <v/>
          </cell>
        </row>
        <row r="2562">
          <cell r="J2562" t="str">
            <v/>
          </cell>
        </row>
        <row r="2563">
          <cell r="J2563" t="str">
            <v/>
          </cell>
        </row>
        <row r="2564">
          <cell r="J2564" t="str">
            <v/>
          </cell>
        </row>
        <row r="2565">
          <cell r="J2565" t="str">
            <v/>
          </cell>
        </row>
        <row r="2566">
          <cell r="J2566" t="str">
            <v/>
          </cell>
        </row>
        <row r="2567">
          <cell r="J2567" t="str">
            <v/>
          </cell>
        </row>
        <row r="2568">
          <cell r="J2568" t="str">
            <v/>
          </cell>
        </row>
        <row r="2569">
          <cell r="J2569" t="str">
            <v/>
          </cell>
        </row>
        <row r="2570">
          <cell r="J2570" t="str">
            <v/>
          </cell>
        </row>
        <row r="2571">
          <cell r="J2571" t="str">
            <v/>
          </cell>
        </row>
        <row r="2572">
          <cell r="J2572" t="str">
            <v/>
          </cell>
        </row>
        <row r="2573">
          <cell r="J2573" t="str">
            <v/>
          </cell>
        </row>
        <row r="2574">
          <cell r="J2574" t="str">
            <v/>
          </cell>
        </row>
        <row r="2575">
          <cell r="J2575" t="str">
            <v/>
          </cell>
        </row>
        <row r="2576">
          <cell r="J2576" t="str">
            <v/>
          </cell>
        </row>
        <row r="2577">
          <cell r="J2577" t="str">
            <v/>
          </cell>
        </row>
        <row r="2578">
          <cell r="J2578" t="str">
            <v/>
          </cell>
        </row>
        <row r="2579">
          <cell r="J2579" t="str">
            <v/>
          </cell>
        </row>
        <row r="2580">
          <cell r="J2580" t="str">
            <v/>
          </cell>
        </row>
        <row r="2581">
          <cell r="J2581" t="str">
            <v/>
          </cell>
        </row>
        <row r="2582">
          <cell r="J2582" t="str">
            <v/>
          </cell>
        </row>
        <row r="2583">
          <cell r="J2583" t="str">
            <v/>
          </cell>
        </row>
        <row r="2584">
          <cell r="J2584" t="str">
            <v/>
          </cell>
        </row>
        <row r="2585">
          <cell r="J2585" t="str">
            <v/>
          </cell>
        </row>
        <row r="2586">
          <cell r="J2586" t="str">
            <v/>
          </cell>
        </row>
        <row r="2587">
          <cell r="J2587" t="str">
            <v/>
          </cell>
        </row>
        <row r="2588">
          <cell r="J2588" t="str">
            <v/>
          </cell>
        </row>
        <row r="2589">
          <cell r="J2589" t="str">
            <v/>
          </cell>
        </row>
        <row r="2590">
          <cell r="J2590" t="str">
            <v/>
          </cell>
        </row>
        <row r="2591">
          <cell r="J2591" t="str">
            <v/>
          </cell>
        </row>
        <row r="2592">
          <cell r="J2592" t="str">
            <v/>
          </cell>
        </row>
        <row r="2593">
          <cell r="J2593" t="str">
            <v/>
          </cell>
        </row>
        <row r="2594">
          <cell r="J2594" t="str">
            <v/>
          </cell>
        </row>
        <row r="2595">
          <cell r="J2595" t="str">
            <v/>
          </cell>
        </row>
        <row r="2596">
          <cell r="J2596" t="str">
            <v/>
          </cell>
        </row>
        <row r="2597">
          <cell r="J2597" t="str">
            <v/>
          </cell>
        </row>
        <row r="2598">
          <cell r="J2598" t="str">
            <v/>
          </cell>
        </row>
        <row r="2599">
          <cell r="J2599" t="str">
            <v/>
          </cell>
        </row>
        <row r="2600">
          <cell r="J2600" t="str">
            <v/>
          </cell>
        </row>
        <row r="2601">
          <cell r="J2601" t="str">
            <v/>
          </cell>
        </row>
        <row r="2602">
          <cell r="J2602" t="str">
            <v/>
          </cell>
        </row>
        <row r="2603">
          <cell r="J2603" t="str">
            <v/>
          </cell>
        </row>
        <row r="2604">
          <cell r="J2604" t="str">
            <v/>
          </cell>
        </row>
        <row r="2605">
          <cell r="J2605" t="str">
            <v/>
          </cell>
        </row>
        <row r="2606">
          <cell r="J2606" t="str">
            <v/>
          </cell>
        </row>
        <row r="2607">
          <cell r="J2607" t="str">
            <v/>
          </cell>
        </row>
        <row r="2608">
          <cell r="J2608" t="str">
            <v/>
          </cell>
        </row>
        <row r="2609">
          <cell r="J2609" t="str">
            <v/>
          </cell>
        </row>
        <row r="2610">
          <cell r="J2610" t="str">
            <v/>
          </cell>
        </row>
        <row r="2611">
          <cell r="J2611" t="str">
            <v/>
          </cell>
        </row>
        <row r="2612">
          <cell r="J2612" t="str">
            <v/>
          </cell>
        </row>
        <row r="2613">
          <cell r="J2613" t="str">
            <v/>
          </cell>
        </row>
        <row r="2614">
          <cell r="J2614" t="str">
            <v/>
          </cell>
        </row>
        <row r="2615">
          <cell r="J2615" t="str">
            <v/>
          </cell>
        </row>
        <row r="2616">
          <cell r="J2616" t="str">
            <v/>
          </cell>
        </row>
        <row r="2617">
          <cell r="J2617" t="str">
            <v/>
          </cell>
        </row>
        <row r="2618">
          <cell r="J2618" t="str">
            <v/>
          </cell>
        </row>
        <row r="2619">
          <cell r="J2619" t="str">
            <v/>
          </cell>
        </row>
        <row r="2620">
          <cell r="J2620" t="str">
            <v/>
          </cell>
        </row>
        <row r="2621">
          <cell r="J2621" t="str">
            <v/>
          </cell>
        </row>
        <row r="2622">
          <cell r="J2622" t="str">
            <v/>
          </cell>
        </row>
        <row r="2623">
          <cell r="J2623" t="str">
            <v/>
          </cell>
        </row>
        <row r="2624">
          <cell r="J2624" t="str">
            <v/>
          </cell>
        </row>
        <row r="2625">
          <cell r="J2625" t="str">
            <v/>
          </cell>
        </row>
        <row r="2626">
          <cell r="J2626" t="str">
            <v/>
          </cell>
        </row>
        <row r="2627">
          <cell r="J2627" t="str">
            <v/>
          </cell>
        </row>
        <row r="2628">
          <cell r="J2628" t="str">
            <v/>
          </cell>
        </row>
        <row r="2629">
          <cell r="J2629" t="str">
            <v/>
          </cell>
        </row>
        <row r="2630">
          <cell r="J2630" t="str">
            <v/>
          </cell>
        </row>
        <row r="2631">
          <cell r="J2631" t="str">
            <v/>
          </cell>
        </row>
        <row r="2632">
          <cell r="J2632" t="str">
            <v/>
          </cell>
        </row>
        <row r="2633">
          <cell r="J2633" t="str">
            <v/>
          </cell>
        </row>
        <row r="2634">
          <cell r="J2634" t="str">
            <v/>
          </cell>
        </row>
        <row r="2635">
          <cell r="J2635" t="str">
            <v/>
          </cell>
        </row>
        <row r="2636">
          <cell r="J2636" t="str">
            <v/>
          </cell>
        </row>
        <row r="2637">
          <cell r="J2637" t="str">
            <v/>
          </cell>
        </row>
        <row r="2638">
          <cell r="J2638" t="str">
            <v/>
          </cell>
        </row>
        <row r="2639">
          <cell r="J2639" t="str">
            <v/>
          </cell>
        </row>
        <row r="2640">
          <cell r="J2640" t="str">
            <v/>
          </cell>
        </row>
        <row r="2641">
          <cell r="J2641" t="str">
            <v/>
          </cell>
        </row>
        <row r="2642">
          <cell r="J2642" t="str">
            <v/>
          </cell>
        </row>
        <row r="2643">
          <cell r="J2643" t="str">
            <v/>
          </cell>
        </row>
        <row r="2644">
          <cell r="J2644" t="str">
            <v/>
          </cell>
        </row>
        <row r="2645">
          <cell r="J2645" t="str">
            <v/>
          </cell>
        </row>
        <row r="2646">
          <cell r="J2646" t="str">
            <v/>
          </cell>
        </row>
        <row r="2647">
          <cell r="J2647" t="str">
            <v/>
          </cell>
        </row>
        <row r="2648">
          <cell r="J2648" t="str">
            <v/>
          </cell>
        </row>
        <row r="2649">
          <cell r="J2649" t="str">
            <v/>
          </cell>
        </row>
        <row r="2650">
          <cell r="J2650" t="str">
            <v/>
          </cell>
        </row>
        <row r="2651">
          <cell r="J2651" t="str">
            <v/>
          </cell>
        </row>
        <row r="2652">
          <cell r="J2652" t="str">
            <v/>
          </cell>
        </row>
        <row r="2653">
          <cell r="J2653" t="str">
            <v/>
          </cell>
        </row>
        <row r="2654">
          <cell r="J2654" t="str">
            <v/>
          </cell>
        </row>
        <row r="2655">
          <cell r="J2655" t="str">
            <v/>
          </cell>
        </row>
        <row r="2656">
          <cell r="J2656" t="str">
            <v/>
          </cell>
        </row>
        <row r="2657">
          <cell r="J2657" t="str">
            <v/>
          </cell>
        </row>
        <row r="2658">
          <cell r="J2658" t="str">
            <v/>
          </cell>
        </row>
        <row r="2659">
          <cell r="J2659" t="str">
            <v/>
          </cell>
        </row>
        <row r="2660">
          <cell r="J2660" t="str">
            <v/>
          </cell>
        </row>
        <row r="2661">
          <cell r="J2661" t="str">
            <v/>
          </cell>
        </row>
        <row r="2662">
          <cell r="J2662" t="str">
            <v/>
          </cell>
        </row>
        <row r="2663">
          <cell r="J2663" t="str">
            <v/>
          </cell>
        </row>
        <row r="2664">
          <cell r="J2664" t="str">
            <v/>
          </cell>
        </row>
        <row r="2665">
          <cell r="J2665" t="str">
            <v/>
          </cell>
        </row>
        <row r="2666">
          <cell r="J2666" t="str">
            <v/>
          </cell>
        </row>
        <row r="2667">
          <cell r="J2667" t="str">
            <v/>
          </cell>
        </row>
        <row r="2668">
          <cell r="J2668" t="str">
            <v/>
          </cell>
        </row>
        <row r="2669">
          <cell r="J2669" t="str">
            <v/>
          </cell>
        </row>
        <row r="2670">
          <cell r="J2670" t="str">
            <v/>
          </cell>
        </row>
        <row r="2671">
          <cell r="J2671" t="str">
            <v/>
          </cell>
        </row>
        <row r="2672">
          <cell r="J2672" t="str">
            <v/>
          </cell>
        </row>
        <row r="2673">
          <cell r="J2673" t="str">
            <v/>
          </cell>
        </row>
        <row r="2674">
          <cell r="J2674" t="str">
            <v/>
          </cell>
        </row>
        <row r="2675">
          <cell r="J2675" t="str">
            <v/>
          </cell>
        </row>
        <row r="2676">
          <cell r="J2676" t="str">
            <v/>
          </cell>
        </row>
        <row r="2677">
          <cell r="J2677" t="str">
            <v/>
          </cell>
        </row>
        <row r="2678">
          <cell r="J2678" t="str">
            <v/>
          </cell>
        </row>
        <row r="2679">
          <cell r="J2679" t="str">
            <v/>
          </cell>
        </row>
        <row r="2680">
          <cell r="J2680" t="str">
            <v/>
          </cell>
        </row>
        <row r="2681">
          <cell r="J2681" t="str">
            <v/>
          </cell>
        </row>
        <row r="2682">
          <cell r="J2682" t="str">
            <v/>
          </cell>
        </row>
        <row r="2683">
          <cell r="J2683" t="str">
            <v/>
          </cell>
        </row>
        <row r="2684">
          <cell r="J2684" t="str">
            <v/>
          </cell>
        </row>
        <row r="2685">
          <cell r="J2685" t="str">
            <v/>
          </cell>
        </row>
        <row r="2686">
          <cell r="J2686" t="str">
            <v/>
          </cell>
        </row>
        <row r="2687">
          <cell r="J2687" t="str">
            <v/>
          </cell>
        </row>
        <row r="2688">
          <cell r="J2688" t="str">
            <v/>
          </cell>
        </row>
        <row r="2689">
          <cell r="J2689" t="str">
            <v/>
          </cell>
        </row>
        <row r="2690">
          <cell r="J2690" t="str">
            <v/>
          </cell>
        </row>
        <row r="2691">
          <cell r="J2691" t="str">
            <v/>
          </cell>
        </row>
        <row r="2692">
          <cell r="J2692" t="str">
            <v/>
          </cell>
        </row>
        <row r="2693">
          <cell r="J2693" t="str">
            <v/>
          </cell>
        </row>
        <row r="2694">
          <cell r="J2694" t="str">
            <v/>
          </cell>
        </row>
        <row r="2695">
          <cell r="J2695" t="str">
            <v/>
          </cell>
        </row>
        <row r="2696">
          <cell r="J2696" t="str">
            <v/>
          </cell>
        </row>
        <row r="2697">
          <cell r="J2697" t="str">
            <v/>
          </cell>
        </row>
        <row r="2698">
          <cell r="J2698" t="str">
            <v/>
          </cell>
        </row>
        <row r="2699">
          <cell r="J2699" t="str">
            <v/>
          </cell>
        </row>
        <row r="2700">
          <cell r="J2700" t="str">
            <v/>
          </cell>
        </row>
        <row r="2701">
          <cell r="J2701" t="str">
            <v/>
          </cell>
        </row>
        <row r="2702">
          <cell r="J2702" t="str">
            <v/>
          </cell>
        </row>
        <row r="2703">
          <cell r="J2703" t="str">
            <v/>
          </cell>
        </row>
        <row r="2704">
          <cell r="J2704" t="str">
            <v/>
          </cell>
        </row>
        <row r="2705">
          <cell r="J2705" t="str">
            <v/>
          </cell>
        </row>
        <row r="2706">
          <cell r="J2706" t="str">
            <v/>
          </cell>
        </row>
        <row r="2707">
          <cell r="J2707" t="str">
            <v/>
          </cell>
        </row>
        <row r="2708">
          <cell r="J2708" t="str">
            <v/>
          </cell>
        </row>
        <row r="2709">
          <cell r="J2709" t="str">
            <v/>
          </cell>
        </row>
        <row r="2710">
          <cell r="J2710" t="str">
            <v/>
          </cell>
        </row>
        <row r="2711">
          <cell r="J2711" t="str">
            <v/>
          </cell>
        </row>
        <row r="2712">
          <cell r="J2712" t="str">
            <v/>
          </cell>
        </row>
        <row r="2713">
          <cell r="J2713" t="str">
            <v/>
          </cell>
        </row>
        <row r="2714">
          <cell r="J2714" t="str">
            <v/>
          </cell>
        </row>
        <row r="2715">
          <cell r="J2715" t="str">
            <v/>
          </cell>
        </row>
        <row r="2716">
          <cell r="J2716" t="str">
            <v/>
          </cell>
        </row>
        <row r="2717">
          <cell r="J2717" t="str">
            <v/>
          </cell>
        </row>
        <row r="2718">
          <cell r="J2718" t="str">
            <v/>
          </cell>
        </row>
        <row r="2719">
          <cell r="J2719" t="str">
            <v/>
          </cell>
        </row>
        <row r="2720">
          <cell r="J2720" t="str">
            <v/>
          </cell>
        </row>
        <row r="2721">
          <cell r="J2721" t="str">
            <v/>
          </cell>
        </row>
        <row r="2722">
          <cell r="J2722" t="str">
            <v/>
          </cell>
        </row>
        <row r="2723">
          <cell r="J2723" t="str">
            <v/>
          </cell>
        </row>
        <row r="2724">
          <cell r="J2724" t="str">
            <v/>
          </cell>
        </row>
        <row r="2725">
          <cell r="J2725" t="str">
            <v/>
          </cell>
        </row>
        <row r="2726">
          <cell r="J2726" t="str">
            <v/>
          </cell>
        </row>
        <row r="2727">
          <cell r="J2727" t="str">
            <v/>
          </cell>
        </row>
        <row r="2728">
          <cell r="J2728" t="str">
            <v/>
          </cell>
        </row>
        <row r="2729">
          <cell r="J2729" t="str">
            <v/>
          </cell>
        </row>
        <row r="2730">
          <cell r="J2730" t="str">
            <v/>
          </cell>
        </row>
        <row r="2731">
          <cell r="J2731" t="str">
            <v/>
          </cell>
        </row>
        <row r="2732">
          <cell r="J2732" t="str">
            <v/>
          </cell>
        </row>
        <row r="2733">
          <cell r="J2733" t="str">
            <v/>
          </cell>
        </row>
        <row r="2734">
          <cell r="J2734" t="str">
            <v/>
          </cell>
        </row>
        <row r="2735">
          <cell r="J2735" t="str">
            <v/>
          </cell>
        </row>
        <row r="2736">
          <cell r="J2736" t="str">
            <v/>
          </cell>
        </row>
        <row r="2737">
          <cell r="J2737" t="str">
            <v/>
          </cell>
        </row>
        <row r="2738">
          <cell r="J2738" t="str">
            <v/>
          </cell>
        </row>
        <row r="2739">
          <cell r="J2739" t="str">
            <v/>
          </cell>
        </row>
        <row r="2740">
          <cell r="J2740" t="str">
            <v/>
          </cell>
        </row>
        <row r="2741">
          <cell r="J2741" t="str">
            <v/>
          </cell>
        </row>
        <row r="2742">
          <cell r="J2742" t="str">
            <v/>
          </cell>
        </row>
        <row r="2743">
          <cell r="J2743" t="str">
            <v/>
          </cell>
        </row>
        <row r="2744">
          <cell r="J2744" t="str">
            <v/>
          </cell>
        </row>
        <row r="2745">
          <cell r="J2745" t="str">
            <v/>
          </cell>
        </row>
        <row r="2746">
          <cell r="J2746" t="str">
            <v/>
          </cell>
        </row>
        <row r="2747">
          <cell r="J2747" t="str">
            <v/>
          </cell>
        </row>
        <row r="2748">
          <cell r="J2748" t="str">
            <v/>
          </cell>
        </row>
        <row r="2749">
          <cell r="J2749" t="str">
            <v/>
          </cell>
        </row>
        <row r="2750">
          <cell r="J2750" t="str">
            <v/>
          </cell>
        </row>
        <row r="2751">
          <cell r="J2751" t="str">
            <v/>
          </cell>
        </row>
        <row r="2752">
          <cell r="J2752" t="str">
            <v/>
          </cell>
        </row>
        <row r="2753">
          <cell r="J2753" t="str">
            <v/>
          </cell>
        </row>
        <row r="2754">
          <cell r="J2754" t="str">
            <v/>
          </cell>
        </row>
        <row r="2755">
          <cell r="J2755" t="str">
            <v/>
          </cell>
        </row>
        <row r="2756">
          <cell r="J2756" t="str">
            <v/>
          </cell>
        </row>
        <row r="2757">
          <cell r="J2757" t="str">
            <v/>
          </cell>
        </row>
        <row r="2758">
          <cell r="J2758" t="str">
            <v/>
          </cell>
        </row>
        <row r="2759">
          <cell r="J2759" t="str">
            <v/>
          </cell>
        </row>
        <row r="2760">
          <cell r="J2760" t="str">
            <v/>
          </cell>
        </row>
        <row r="2761">
          <cell r="J2761" t="str">
            <v/>
          </cell>
        </row>
        <row r="2762">
          <cell r="J2762" t="str">
            <v/>
          </cell>
        </row>
        <row r="2763">
          <cell r="J2763" t="str">
            <v/>
          </cell>
        </row>
        <row r="2764">
          <cell r="J2764" t="str">
            <v/>
          </cell>
        </row>
        <row r="2765">
          <cell r="J2765" t="str">
            <v/>
          </cell>
        </row>
        <row r="2766">
          <cell r="J2766" t="str">
            <v/>
          </cell>
        </row>
        <row r="2767">
          <cell r="J2767" t="str">
            <v/>
          </cell>
        </row>
        <row r="2768">
          <cell r="J2768" t="str">
            <v/>
          </cell>
        </row>
        <row r="2769">
          <cell r="J2769" t="str">
            <v/>
          </cell>
        </row>
        <row r="2770">
          <cell r="J2770" t="str">
            <v/>
          </cell>
        </row>
        <row r="2771">
          <cell r="J2771" t="str">
            <v/>
          </cell>
        </row>
        <row r="2772">
          <cell r="J2772" t="str">
            <v/>
          </cell>
        </row>
        <row r="2773">
          <cell r="J2773" t="str">
            <v/>
          </cell>
        </row>
        <row r="2774">
          <cell r="J2774" t="str">
            <v/>
          </cell>
        </row>
        <row r="2775">
          <cell r="J2775" t="str">
            <v/>
          </cell>
        </row>
        <row r="2776">
          <cell r="J2776" t="str">
            <v/>
          </cell>
        </row>
        <row r="2777">
          <cell r="J2777" t="str">
            <v/>
          </cell>
        </row>
        <row r="2778">
          <cell r="J2778" t="str">
            <v/>
          </cell>
        </row>
        <row r="2779">
          <cell r="J2779" t="str">
            <v/>
          </cell>
        </row>
        <row r="2780">
          <cell r="J2780" t="str">
            <v/>
          </cell>
        </row>
        <row r="2781">
          <cell r="J2781" t="str">
            <v/>
          </cell>
        </row>
        <row r="2782">
          <cell r="J2782" t="str">
            <v/>
          </cell>
        </row>
        <row r="2783">
          <cell r="J2783" t="str">
            <v/>
          </cell>
        </row>
        <row r="2784">
          <cell r="J2784" t="str">
            <v/>
          </cell>
        </row>
        <row r="2785">
          <cell r="J2785" t="str">
            <v/>
          </cell>
        </row>
        <row r="2786">
          <cell r="J2786" t="str">
            <v/>
          </cell>
        </row>
        <row r="2787">
          <cell r="J2787" t="str">
            <v/>
          </cell>
        </row>
        <row r="2788">
          <cell r="J2788" t="str">
            <v/>
          </cell>
        </row>
        <row r="2789">
          <cell r="J2789" t="str">
            <v/>
          </cell>
        </row>
        <row r="2790">
          <cell r="J2790" t="str">
            <v/>
          </cell>
        </row>
        <row r="2791">
          <cell r="J2791" t="str">
            <v/>
          </cell>
        </row>
        <row r="2792">
          <cell r="J2792" t="str">
            <v/>
          </cell>
        </row>
        <row r="2793">
          <cell r="J2793" t="str">
            <v/>
          </cell>
        </row>
        <row r="2794">
          <cell r="J2794" t="str">
            <v/>
          </cell>
        </row>
        <row r="2795">
          <cell r="J2795" t="str">
            <v/>
          </cell>
        </row>
        <row r="2796">
          <cell r="J2796" t="str">
            <v/>
          </cell>
        </row>
        <row r="2797">
          <cell r="J2797" t="str">
            <v/>
          </cell>
        </row>
        <row r="2798">
          <cell r="J2798" t="str">
            <v/>
          </cell>
        </row>
        <row r="2799">
          <cell r="J2799" t="str">
            <v/>
          </cell>
        </row>
        <row r="2800">
          <cell r="J2800" t="str">
            <v/>
          </cell>
        </row>
        <row r="2801">
          <cell r="J2801" t="str">
            <v/>
          </cell>
        </row>
        <row r="2802">
          <cell r="J2802" t="str">
            <v/>
          </cell>
        </row>
        <row r="2803">
          <cell r="J2803" t="str">
            <v/>
          </cell>
        </row>
        <row r="2804">
          <cell r="J2804" t="str">
            <v/>
          </cell>
        </row>
        <row r="2805">
          <cell r="J2805" t="str">
            <v/>
          </cell>
        </row>
        <row r="2806">
          <cell r="J2806" t="str">
            <v/>
          </cell>
        </row>
        <row r="2807">
          <cell r="J2807" t="str">
            <v/>
          </cell>
        </row>
        <row r="2808">
          <cell r="J2808" t="str">
            <v/>
          </cell>
        </row>
        <row r="2809">
          <cell r="J2809" t="str">
            <v/>
          </cell>
        </row>
        <row r="2810">
          <cell r="J2810" t="str">
            <v/>
          </cell>
        </row>
        <row r="2811">
          <cell r="J2811" t="str">
            <v/>
          </cell>
        </row>
        <row r="2812">
          <cell r="J2812" t="str">
            <v/>
          </cell>
        </row>
        <row r="2813">
          <cell r="J2813" t="str">
            <v>x</v>
          </cell>
        </row>
        <row r="2814">
          <cell r="J2814" t="str">
            <v>x</v>
          </cell>
        </row>
        <row r="2815">
          <cell r="J2815" t="str">
            <v>x</v>
          </cell>
        </row>
        <row r="2816">
          <cell r="J2816" t="str">
            <v>x</v>
          </cell>
        </row>
        <row r="2817">
          <cell r="J2817" t="str">
            <v>x</v>
          </cell>
        </row>
        <row r="2818">
          <cell r="J2818" t="str">
            <v>x</v>
          </cell>
        </row>
        <row r="2819">
          <cell r="J2819" t="str">
            <v>x</v>
          </cell>
        </row>
        <row r="2820">
          <cell r="J2820" t="str">
            <v>x</v>
          </cell>
        </row>
        <row r="2821">
          <cell r="J2821" t="str">
            <v>x</v>
          </cell>
        </row>
        <row r="2822">
          <cell r="J2822" t="str">
            <v/>
          </cell>
        </row>
        <row r="2823">
          <cell r="J2823" t="str">
            <v/>
          </cell>
        </row>
        <row r="2824">
          <cell r="J2824" t="str">
            <v/>
          </cell>
        </row>
        <row r="2825">
          <cell r="J2825" t="str">
            <v/>
          </cell>
        </row>
        <row r="2826">
          <cell r="J2826" t="str">
            <v/>
          </cell>
        </row>
        <row r="2827">
          <cell r="J2827" t="str">
            <v/>
          </cell>
        </row>
        <row r="2828">
          <cell r="J2828" t="str">
            <v/>
          </cell>
        </row>
        <row r="2829">
          <cell r="J2829" t="str">
            <v/>
          </cell>
        </row>
        <row r="2830">
          <cell r="J2830" t="str">
            <v/>
          </cell>
        </row>
        <row r="2831">
          <cell r="J2831" t="str">
            <v/>
          </cell>
        </row>
        <row r="2832">
          <cell r="J2832" t="str">
            <v/>
          </cell>
        </row>
        <row r="2833">
          <cell r="J2833" t="str">
            <v/>
          </cell>
        </row>
        <row r="2834">
          <cell r="J2834" t="str">
            <v/>
          </cell>
        </row>
        <row r="2835">
          <cell r="J2835" t="str">
            <v/>
          </cell>
        </row>
        <row r="2836">
          <cell r="J2836" t="str">
            <v/>
          </cell>
        </row>
        <row r="2837">
          <cell r="J2837" t="str">
            <v/>
          </cell>
        </row>
        <row r="2838">
          <cell r="J2838" t="str">
            <v/>
          </cell>
        </row>
        <row r="2839">
          <cell r="J2839" t="str">
            <v/>
          </cell>
        </row>
        <row r="2840">
          <cell r="J2840" t="str">
            <v/>
          </cell>
        </row>
        <row r="2841">
          <cell r="J2841" t="str">
            <v/>
          </cell>
        </row>
        <row r="2842">
          <cell r="J2842" t="str">
            <v/>
          </cell>
        </row>
        <row r="2843">
          <cell r="J2843" t="str">
            <v/>
          </cell>
        </row>
        <row r="2844">
          <cell r="J2844" t="str">
            <v/>
          </cell>
        </row>
        <row r="2845">
          <cell r="J2845" t="str">
            <v/>
          </cell>
        </row>
        <row r="2846">
          <cell r="J2846" t="str">
            <v/>
          </cell>
        </row>
        <row r="2847">
          <cell r="J2847" t="str">
            <v/>
          </cell>
        </row>
        <row r="2848">
          <cell r="J2848" t="str">
            <v/>
          </cell>
        </row>
        <row r="2849">
          <cell r="J2849" t="str">
            <v/>
          </cell>
        </row>
        <row r="2850">
          <cell r="J2850" t="str">
            <v/>
          </cell>
        </row>
        <row r="2851">
          <cell r="J2851" t="str">
            <v/>
          </cell>
        </row>
        <row r="2852">
          <cell r="J2852" t="str">
            <v/>
          </cell>
        </row>
        <row r="2853">
          <cell r="J2853" t="str">
            <v/>
          </cell>
        </row>
        <row r="2854">
          <cell r="J2854" t="str">
            <v/>
          </cell>
        </row>
        <row r="2855">
          <cell r="J2855" t="str">
            <v/>
          </cell>
        </row>
        <row r="2856">
          <cell r="J2856" t="str">
            <v/>
          </cell>
        </row>
        <row r="2857">
          <cell r="J2857" t="str">
            <v/>
          </cell>
        </row>
        <row r="2858">
          <cell r="J2858" t="str">
            <v/>
          </cell>
        </row>
        <row r="2859">
          <cell r="J2859" t="str">
            <v/>
          </cell>
        </row>
        <row r="2860">
          <cell r="J2860" t="str">
            <v/>
          </cell>
        </row>
        <row r="2861">
          <cell r="J2861" t="str">
            <v/>
          </cell>
        </row>
        <row r="2862">
          <cell r="J2862" t="str">
            <v/>
          </cell>
        </row>
        <row r="2863">
          <cell r="J2863" t="str">
            <v/>
          </cell>
        </row>
        <row r="2864">
          <cell r="J2864" t="str">
            <v/>
          </cell>
        </row>
        <row r="2865">
          <cell r="J2865" t="str">
            <v/>
          </cell>
        </row>
        <row r="2866">
          <cell r="J2866" t="str">
            <v/>
          </cell>
        </row>
        <row r="2867">
          <cell r="J2867" t="str">
            <v/>
          </cell>
        </row>
        <row r="2868">
          <cell r="J2868" t="str">
            <v/>
          </cell>
        </row>
        <row r="2869">
          <cell r="J2869" t="str">
            <v/>
          </cell>
        </row>
        <row r="2870">
          <cell r="J2870" t="str">
            <v/>
          </cell>
        </row>
        <row r="2871">
          <cell r="J2871" t="str">
            <v/>
          </cell>
        </row>
        <row r="2872">
          <cell r="J2872" t="str">
            <v/>
          </cell>
        </row>
        <row r="2873">
          <cell r="J2873" t="str">
            <v/>
          </cell>
        </row>
        <row r="2874">
          <cell r="J2874" t="str">
            <v/>
          </cell>
        </row>
        <row r="2875">
          <cell r="J2875" t="str">
            <v/>
          </cell>
        </row>
        <row r="2876">
          <cell r="J2876" t="str">
            <v/>
          </cell>
        </row>
        <row r="2877">
          <cell r="J2877" t="str">
            <v/>
          </cell>
        </row>
        <row r="2878">
          <cell r="J2878" t="str">
            <v/>
          </cell>
        </row>
        <row r="2879">
          <cell r="J2879" t="str">
            <v/>
          </cell>
        </row>
        <row r="2880">
          <cell r="J2880" t="str">
            <v/>
          </cell>
        </row>
        <row r="2881">
          <cell r="J2881" t="str">
            <v/>
          </cell>
        </row>
        <row r="2882">
          <cell r="J2882" t="str">
            <v/>
          </cell>
        </row>
        <row r="2883">
          <cell r="J2883" t="str">
            <v/>
          </cell>
        </row>
        <row r="2884">
          <cell r="J2884" t="str">
            <v/>
          </cell>
        </row>
        <row r="2885">
          <cell r="J2885" t="str">
            <v/>
          </cell>
        </row>
        <row r="2886">
          <cell r="J2886" t="str">
            <v/>
          </cell>
        </row>
        <row r="2887">
          <cell r="J2887" t="str">
            <v/>
          </cell>
        </row>
        <row r="2888">
          <cell r="J2888" t="str">
            <v/>
          </cell>
        </row>
        <row r="2889">
          <cell r="J2889" t="str">
            <v/>
          </cell>
        </row>
        <row r="2890">
          <cell r="J2890" t="str">
            <v/>
          </cell>
        </row>
        <row r="2891">
          <cell r="J2891" t="str">
            <v/>
          </cell>
        </row>
        <row r="2892">
          <cell r="J2892" t="str">
            <v/>
          </cell>
        </row>
        <row r="2893">
          <cell r="J2893" t="str">
            <v/>
          </cell>
        </row>
        <row r="2894">
          <cell r="J2894" t="str">
            <v/>
          </cell>
        </row>
        <row r="2895">
          <cell r="J2895" t="str">
            <v/>
          </cell>
        </row>
        <row r="2896">
          <cell r="J2896" t="str">
            <v/>
          </cell>
        </row>
        <row r="2897">
          <cell r="J2897" t="str">
            <v/>
          </cell>
        </row>
        <row r="2898">
          <cell r="J2898" t="str">
            <v/>
          </cell>
        </row>
        <row r="2899">
          <cell r="J2899" t="str">
            <v/>
          </cell>
        </row>
        <row r="2900">
          <cell r="J2900" t="str">
            <v/>
          </cell>
        </row>
        <row r="2901">
          <cell r="J2901" t="str">
            <v/>
          </cell>
        </row>
        <row r="2902">
          <cell r="J2902" t="str">
            <v/>
          </cell>
        </row>
        <row r="2903">
          <cell r="J2903" t="str">
            <v/>
          </cell>
        </row>
        <row r="2904">
          <cell r="J2904" t="str">
            <v/>
          </cell>
        </row>
        <row r="2905">
          <cell r="J2905" t="str">
            <v/>
          </cell>
        </row>
        <row r="2906">
          <cell r="J2906" t="str">
            <v/>
          </cell>
        </row>
        <row r="2907">
          <cell r="J2907" t="str">
            <v/>
          </cell>
        </row>
        <row r="2908">
          <cell r="J2908" t="str">
            <v/>
          </cell>
        </row>
        <row r="2909">
          <cell r="J2909" t="str">
            <v/>
          </cell>
        </row>
        <row r="2910">
          <cell r="J2910" t="str">
            <v/>
          </cell>
        </row>
        <row r="2911">
          <cell r="J2911" t="str">
            <v/>
          </cell>
        </row>
        <row r="2912">
          <cell r="J2912" t="str">
            <v/>
          </cell>
        </row>
        <row r="2913">
          <cell r="J2913" t="str">
            <v/>
          </cell>
        </row>
        <row r="2914">
          <cell r="J2914" t="str">
            <v/>
          </cell>
        </row>
        <row r="2915">
          <cell r="J2915" t="str">
            <v/>
          </cell>
        </row>
        <row r="2916">
          <cell r="J2916" t="str">
            <v/>
          </cell>
        </row>
        <row r="2917">
          <cell r="J2917" t="str">
            <v/>
          </cell>
        </row>
        <row r="2918">
          <cell r="J2918" t="str">
            <v/>
          </cell>
        </row>
        <row r="2919">
          <cell r="J2919" t="str">
            <v/>
          </cell>
        </row>
        <row r="2920">
          <cell r="J2920" t="str">
            <v/>
          </cell>
        </row>
        <row r="2921">
          <cell r="J2921" t="str">
            <v/>
          </cell>
        </row>
        <row r="2922">
          <cell r="J2922" t="str">
            <v/>
          </cell>
        </row>
        <row r="2923">
          <cell r="J2923" t="str">
            <v/>
          </cell>
        </row>
        <row r="2924">
          <cell r="J2924" t="str">
            <v/>
          </cell>
        </row>
        <row r="2925">
          <cell r="J2925" t="str">
            <v/>
          </cell>
        </row>
        <row r="2926">
          <cell r="J2926" t="str">
            <v/>
          </cell>
        </row>
        <row r="2927">
          <cell r="J2927" t="str">
            <v/>
          </cell>
        </row>
        <row r="2928">
          <cell r="J2928" t="str">
            <v/>
          </cell>
        </row>
        <row r="2929">
          <cell r="J2929" t="str">
            <v/>
          </cell>
        </row>
        <row r="2930">
          <cell r="J2930" t="str">
            <v/>
          </cell>
        </row>
        <row r="2931">
          <cell r="J2931" t="str">
            <v/>
          </cell>
        </row>
        <row r="2932">
          <cell r="J2932" t="str">
            <v/>
          </cell>
        </row>
        <row r="2933">
          <cell r="J2933" t="str">
            <v/>
          </cell>
        </row>
        <row r="2934">
          <cell r="J2934" t="str">
            <v/>
          </cell>
        </row>
        <row r="2935">
          <cell r="J2935" t="str">
            <v/>
          </cell>
        </row>
        <row r="2936">
          <cell r="J2936" t="str">
            <v/>
          </cell>
        </row>
        <row r="2937">
          <cell r="J2937" t="str">
            <v/>
          </cell>
        </row>
        <row r="2938">
          <cell r="J2938" t="str">
            <v/>
          </cell>
        </row>
        <row r="2939">
          <cell r="J2939" t="str">
            <v/>
          </cell>
        </row>
        <row r="2940">
          <cell r="J2940" t="str">
            <v/>
          </cell>
        </row>
        <row r="2941">
          <cell r="J2941" t="str">
            <v/>
          </cell>
        </row>
        <row r="2942">
          <cell r="J2942" t="str">
            <v/>
          </cell>
        </row>
        <row r="2943">
          <cell r="J2943" t="str">
            <v/>
          </cell>
        </row>
        <row r="2944">
          <cell r="J2944" t="str">
            <v/>
          </cell>
        </row>
        <row r="2945">
          <cell r="J2945" t="str">
            <v/>
          </cell>
        </row>
        <row r="2946">
          <cell r="J2946" t="str">
            <v/>
          </cell>
        </row>
        <row r="2947">
          <cell r="J2947" t="str">
            <v/>
          </cell>
        </row>
        <row r="2948">
          <cell r="J2948" t="str">
            <v/>
          </cell>
        </row>
        <row r="2949">
          <cell r="J2949" t="str">
            <v/>
          </cell>
        </row>
        <row r="2950">
          <cell r="J2950" t="str">
            <v/>
          </cell>
        </row>
        <row r="2951">
          <cell r="J2951" t="str">
            <v/>
          </cell>
        </row>
        <row r="2952">
          <cell r="J2952" t="str">
            <v/>
          </cell>
        </row>
        <row r="2953">
          <cell r="J2953" t="str">
            <v/>
          </cell>
        </row>
        <row r="2954">
          <cell r="J2954" t="str">
            <v/>
          </cell>
        </row>
        <row r="2955">
          <cell r="J2955" t="str">
            <v/>
          </cell>
        </row>
        <row r="2956">
          <cell r="J2956" t="str">
            <v/>
          </cell>
        </row>
        <row r="2957">
          <cell r="J2957" t="str">
            <v/>
          </cell>
        </row>
        <row r="2958">
          <cell r="J2958" t="str">
            <v/>
          </cell>
        </row>
        <row r="2959">
          <cell r="J2959" t="str">
            <v/>
          </cell>
        </row>
        <row r="2960">
          <cell r="J2960" t="str">
            <v/>
          </cell>
        </row>
        <row r="2961">
          <cell r="J2961" t="str">
            <v/>
          </cell>
        </row>
        <row r="2962">
          <cell r="J2962" t="str">
            <v/>
          </cell>
        </row>
        <row r="2963">
          <cell r="J2963" t="str">
            <v/>
          </cell>
        </row>
        <row r="2964">
          <cell r="J2964" t="str">
            <v/>
          </cell>
        </row>
        <row r="2965">
          <cell r="J2965" t="str">
            <v/>
          </cell>
        </row>
        <row r="2966">
          <cell r="J2966" t="str">
            <v/>
          </cell>
        </row>
        <row r="2967">
          <cell r="J2967" t="str">
            <v/>
          </cell>
        </row>
        <row r="2968">
          <cell r="J2968" t="str">
            <v/>
          </cell>
        </row>
        <row r="2969">
          <cell r="J2969" t="str">
            <v/>
          </cell>
        </row>
        <row r="2970">
          <cell r="J2970" t="str">
            <v/>
          </cell>
        </row>
        <row r="2971">
          <cell r="J2971" t="str">
            <v/>
          </cell>
        </row>
        <row r="2972">
          <cell r="J2972" t="str">
            <v/>
          </cell>
        </row>
        <row r="2973">
          <cell r="J2973" t="str">
            <v/>
          </cell>
        </row>
        <row r="2974">
          <cell r="J2974" t="str">
            <v/>
          </cell>
        </row>
        <row r="2975">
          <cell r="J2975" t="str">
            <v/>
          </cell>
        </row>
        <row r="2976">
          <cell r="J2976" t="str">
            <v/>
          </cell>
        </row>
        <row r="2977">
          <cell r="J2977" t="str">
            <v/>
          </cell>
        </row>
        <row r="2978">
          <cell r="J2978" t="str">
            <v/>
          </cell>
        </row>
        <row r="2979">
          <cell r="J2979" t="str">
            <v/>
          </cell>
        </row>
        <row r="2980">
          <cell r="J2980" t="str">
            <v/>
          </cell>
        </row>
        <row r="2981">
          <cell r="J2981" t="str">
            <v/>
          </cell>
        </row>
        <row r="2982">
          <cell r="J2982" t="str">
            <v/>
          </cell>
        </row>
        <row r="2983">
          <cell r="J2983" t="str">
            <v/>
          </cell>
        </row>
        <row r="2984">
          <cell r="J2984" t="str">
            <v/>
          </cell>
        </row>
        <row r="2985">
          <cell r="J2985" t="str">
            <v/>
          </cell>
        </row>
        <row r="2986">
          <cell r="J2986" t="str">
            <v/>
          </cell>
        </row>
        <row r="2987">
          <cell r="J2987" t="str">
            <v/>
          </cell>
        </row>
        <row r="2988">
          <cell r="J2988" t="str">
            <v/>
          </cell>
        </row>
        <row r="2989">
          <cell r="J2989" t="str">
            <v/>
          </cell>
        </row>
        <row r="2990">
          <cell r="J2990" t="str">
            <v/>
          </cell>
        </row>
        <row r="2991">
          <cell r="J2991" t="str">
            <v/>
          </cell>
        </row>
        <row r="2992">
          <cell r="J2992" t="str">
            <v/>
          </cell>
        </row>
        <row r="2993">
          <cell r="J2993" t="str">
            <v/>
          </cell>
        </row>
        <row r="2994">
          <cell r="J2994" t="str">
            <v/>
          </cell>
        </row>
        <row r="2995">
          <cell r="J2995" t="str">
            <v/>
          </cell>
        </row>
        <row r="2996">
          <cell r="J2996" t="str">
            <v/>
          </cell>
        </row>
        <row r="2997">
          <cell r="J2997" t="str">
            <v/>
          </cell>
        </row>
        <row r="2998">
          <cell r="J2998" t="str">
            <v/>
          </cell>
        </row>
        <row r="2999">
          <cell r="J2999" t="str">
            <v/>
          </cell>
        </row>
        <row r="3000">
          <cell r="J3000" t="str">
            <v/>
          </cell>
        </row>
        <row r="3001">
          <cell r="J3001" t="str">
            <v/>
          </cell>
        </row>
        <row r="3002">
          <cell r="J3002" t="str">
            <v/>
          </cell>
        </row>
        <row r="3003">
          <cell r="J3003" t="str">
            <v/>
          </cell>
        </row>
        <row r="3004">
          <cell r="J3004" t="str">
            <v/>
          </cell>
        </row>
        <row r="3005">
          <cell r="J3005" t="str">
            <v/>
          </cell>
        </row>
        <row r="3006">
          <cell r="J3006" t="str">
            <v/>
          </cell>
        </row>
        <row r="3007">
          <cell r="J3007" t="str">
            <v/>
          </cell>
        </row>
        <row r="3008">
          <cell r="J3008" t="str">
            <v/>
          </cell>
        </row>
        <row r="3009">
          <cell r="J3009" t="str">
            <v/>
          </cell>
        </row>
        <row r="3010">
          <cell r="J3010" t="str">
            <v/>
          </cell>
        </row>
        <row r="3011">
          <cell r="J3011" t="str">
            <v/>
          </cell>
        </row>
        <row r="3012">
          <cell r="J3012" t="str">
            <v/>
          </cell>
        </row>
        <row r="3013">
          <cell r="J3013" t="str">
            <v/>
          </cell>
        </row>
        <row r="3014">
          <cell r="J3014" t="str">
            <v/>
          </cell>
        </row>
        <row r="3015">
          <cell r="J3015" t="str">
            <v/>
          </cell>
        </row>
        <row r="3016">
          <cell r="J3016" t="str">
            <v/>
          </cell>
        </row>
        <row r="3017">
          <cell r="J3017" t="str">
            <v/>
          </cell>
        </row>
        <row r="3018">
          <cell r="J3018" t="str">
            <v/>
          </cell>
        </row>
        <row r="3019">
          <cell r="J3019" t="str">
            <v/>
          </cell>
        </row>
        <row r="3020">
          <cell r="J3020" t="str">
            <v/>
          </cell>
        </row>
        <row r="3021">
          <cell r="J3021" t="str">
            <v/>
          </cell>
        </row>
        <row r="3022">
          <cell r="J3022" t="str">
            <v/>
          </cell>
        </row>
        <row r="3023">
          <cell r="J3023" t="str">
            <v/>
          </cell>
        </row>
        <row r="3024">
          <cell r="J3024" t="str">
            <v/>
          </cell>
        </row>
        <row r="3025">
          <cell r="J3025" t="str">
            <v/>
          </cell>
        </row>
        <row r="3026">
          <cell r="J3026" t="str">
            <v/>
          </cell>
        </row>
        <row r="3027">
          <cell r="J3027" t="str">
            <v/>
          </cell>
        </row>
        <row r="3028">
          <cell r="J3028" t="str">
            <v/>
          </cell>
        </row>
        <row r="3029">
          <cell r="J3029" t="str">
            <v/>
          </cell>
        </row>
        <row r="3030">
          <cell r="J3030" t="str">
            <v/>
          </cell>
        </row>
        <row r="3031">
          <cell r="J3031" t="str">
            <v/>
          </cell>
        </row>
        <row r="3032">
          <cell r="J3032" t="str">
            <v/>
          </cell>
        </row>
        <row r="3033">
          <cell r="J3033" t="str">
            <v/>
          </cell>
        </row>
        <row r="3034">
          <cell r="J3034" t="str">
            <v/>
          </cell>
        </row>
        <row r="3035">
          <cell r="J3035" t="str">
            <v/>
          </cell>
        </row>
        <row r="3036">
          <cell r="J3036" t="str">
            <v/>
          </cell>
        </row>
        <row r="3037">
          <cell r="J3037" t="str">
            <v/>
          </cell>
        </row>
        <row r="3038">
          <cell r="J3038" t="str">
            <v/>
          </cell>
        </row>
        <row r="3039">
          <cell r="J3039" t="str">
            <v/>
          </cell>
        </row>
        <row r="3040">
          <cell r="J3040" t="str">
            <v/>
          </cell>
        </row>
        <row r="3041">
          <cell r="J3041" t="str">
            <v/>
          </cell>
        </row>
        <row r="3042">
          <cell r="J3042" t="str">
            <v/>
          </cell>
        </row>
        <row r="3043">
          <cell r="J3043" t="str">
            <v/>
          </cell>
        </row>
        <row r="3044">
          <cell r="J3044" t="str">
            <v/>
          </cell>
        </row>
        <row r="3045">
          <cell r="J3045" t="str">
            <v/>
          </cell>
        </row>
        <row r="3046">
          <cell r="J3046" t="str">
            <v/>
          </cell>
        </row>
        <row r="3047">
          <cell r="J3047" t="str">
            <v/>
          </cell>
        </row>
        <row r="3048">
          <cell r="J3048" t="str">
            <v/>
          </cell>
        </row>
        <row r="3049">
          <cell r="J3049" t="str">
            <v/>
          </cell>
        </row>
        <row r="3050">
          <cell r="J3050" t="str">
            <v/>
          </cell>
        </row>
        <row r="3051">
          <cell r="J3051" t="str">
            <v/>
          </cell>
        </row>
        <row r="3052">
          <cell r="J3052" t="str">
            <v/>
          </cell>
        </row>
        <row r="3053">
          <cell r="J3053" t="str">
            <v/>
          </cell>
        </row>
        <row r="3054">
          <cell r="J3054" t="str">
            <v/>
          </cell>
        </row>
        <row r="3055">
          <cell r="J3055" t="str">
            <v/>
          </cell>
        </row>
        <row r="3056">
          <cell r="J3056" t="str">
            <v/>
          </cell>
        </row>
        <row r="3057">
          <cell r="J3057" t="str">
            <v/>
          </cell>
        </row>
        <row r="3058">
          <cell r="J3058" t="str">
            <v/>
          </cell>
        </row>
        <row r="3059">
          <cell r="J3059" t="str">
            <v/>
          </cell>
        </row>
        <row r="3060">
          <cell r="J3060" t="str">
            <v/>
          </cell>
        </row>
        <row r="3061">
          <cell r="J3061" t="str">
            <v/>
          </cell>
        </row>
        <row r="3062">
          <cell r="J3062" t="str">
            <v/>
          </cell>
        </row>
        <row r="3063">
          <cell r="J3063" t="str">
            <v/>
          </cell>
        </row>
        <row r="3064">
          <cell r="J3064" t="str">
            <v/>
          </cell>
        </row>
        <row r="3065">
          <cell r="J3065" t="str">
            <v/>
          </cell>
        </row>
        <row r="3066">
          <cell r="J3066" t="str">
            <v/>
          </cell>
        </row>
        <row r="3067">
          <cell r="J3067" t="str">
            <v/>
          </cell>
        </row>
        <row r="3068">
          <cell r="J3068" t="str">
            <v/>
          </cell>
        </row>
        <row r="3069">
          <cell r="J3069" t="str">
            <v/>
          </cell>
        </row>
        <row r="3070">
          <cell r="J3070" t="str">
            <v/>
          </cell>
        </row>
        <row r="3071">
          <cell r="J3071" t="str">
            <v/>
          </cell>
        </row>
        <row r="3072">
          <cell r="J3072" t="str">
            <v/>
          </cell>
        </row>
        <row r="3073">
          <cell r="J3073" t="str">
            <v/>
          </cell>
        </row>
        <row r="3074">
          <cell r="J3074" t="str">
            <v/>
          </cell>
        </row>
        <row r="3075">
          <cell r="J3075" t="str">
            <v/>
          </cell>
        </row>
        <row r="3076">
          <cell r="J3076" t="str">
            <v/>
          </cell>
        </row>
        <row r="3077">
          <cell r="J3077" t="str">
            <v/>
          </cell>
        </row>
        <row r="3078">
          <cell r="J3078" t="str">
            <v/>
          </cell>
        </row>
        <row r="3079">
          <cell r="J3079" t="str">
            <v/>
          </cell>
        </row>
        <row r="3080">
          <cell r="J3080" t="str">
            <v>x</v>
          </cell>
        </row>
        <row r="3081">
          <cell r="J3081" t="str">
            <v>x</v>
          </cell>
        </row>
        <row r="3082">
          <cell r="J3082" t="str">
            <v>x</v>
          </cell>
        </row>
        <row r="3083">
          <cell r="J3083" t="str">
            <v>x</v>
          </cell>
        </row>
        <row r="3084">
          <cell r="J3084" t="str">
            <v>x</v>
          </cell>
        </row>
        <row r="3085">
          <cell r="J3085" t="str">
            <v>x</v>
          </cell>
        </row>
        <row r="3086">
          <cell r="J3086" t="str">
            <v>x</v>
          </cell>
        </row>
        <row r="3087">
          <cell r="J3087" t="str">
            <v>x</v>
          </cell>
        </row>
        <row r="3088">
          <cell r="J3088" t="str">
            <v>x</v>
          </cell>
        </row>
        <row r="3089">
          <cell r="J3089" t="str">
            <v/>
          </cell>
        </row>
        <row r="3090">
          <cell r="J3090" t="str">
            <v/>
          </cell>
        </row>
        <row r="3091">
          <cell r="J3091" t="str">
            <v/>
          </cell>
        </row>
        <row r="3092">
          <cell r="J3092" t="str">
            <v/>
          </cell>
        </row>
        <row r="3093">
          <cell r="J3093" t="str">
            <v/>
          </cell>
        </row>
        <row r="3094">
          <cell r="J3094" t="str">
            <v/>
          </cell>
        </row>
        <row r="3095">
          <cell r="J3095" t="str">
            <v/>
          </cell>
        </row>
        <row r="3096">
          <cell r="J3096" t="str">
            <v/>
          </cell>
        </row>
        <row r="3097">
          <cell r="J3097" t="str">
            <v/>
          </cell>
        </row>
        <row r="3098">
          <cell r="J3098" t="str">
            <v/>
          </cell>
        </row>
        <row r="3099">
          <cell r="J3099" t="str">
            <v/>
          </cell>
        </row>
        <row r="3100">
          <cell r="J3100" t="str">
            <v/>
          </cell>
        </row>
        <row r="3101">
          <cell r="J3101" t="str">
            <v/>
          </cell>
        </row>
        <row r="3102">
          <cell r="J3102" t="str">
            <v/>
          </cell>
        </row>
        <row r="3103">
          <cell r="J3103" t="str">
            <v/>
          </cell>
        </row>
        <row r="3104">
          <cell r="J3104" t="str">
            <v/>
          </cell>
        </row>
        <row r="3105">
          <cell r="J3105" t="str">
            <v/>
          </cell>
        </row>
        <row r="3106">
          <cell r="J3106" t="str">
            <v/>
          </cell>
        </row>
        <row r="3107">
          <cell r="J3107" t="str">
            <v/>
          </cell>
        </row>
        <row r="3108">
          <cell r="J3108" t="str">
            <v/>
          </cell>
        </row>
        <row r="3109">
          <cell r="J3109" t="str">
            <v/>
          </cell>
        </row>
        <row r="3110">
          <cell r="J3110" t="str">
            <v/>
          </cell>
        </row>
        <row r="3111">
          <cell r="J3111" t="str">
            <v/>
          </cell>
        </row>
        <row r="3112">
          <cell r="J3112" t="str">
            <v/>
          </cell>
        </row>
        <row r="3113">
          <cell r="J3113" t="str">
            <v/>
          </cell>
        </row>
        <row r="3114">
          <cell r="J3114" t="str">
            <v/>
          </cell>
        </row>
        <row r="3115">
          <cell r="J3115" t="str">
            <v/>
          </cell>
        </row>
        <row r="3116">
          <cell r="J3116" t="str">
            <v/>
          </cell>
        </row>
        <row r="3117">
          <cell r="J3117" t="str">
            <v/>
          </cell>
        </row>
        <row r="3118">
          <cell r="J3118" t="str">
            <v/>
          </cell>
        </row>
        <row r="3119">
          <cell r="J3119" t="str">
            <v/>
          </cell>
        </row>
        <row r="3120">
          <cell r="J3120" t="str">
            <v/>
          </cell>
        </row>
        <row r="3121">
          <cell r="J3121" t="str">
            <v/>
          </cell>
        </row>
        <row r="3122">
          <cell r="J3122" t="str">
            <v/>
          </cell>
        </row>
        <row r="3123">
          <cell r="J3123" t="str">
            <v/>
          </cell>
        </row>
        <row r="3124">
          <cell r="J3124" t="str">
            <v/>
          </cell>
        </row>
        <row r="3125">
          <cell r="J3125" t="str">
            <v/>
          </cell>
        </row>
        <row r="3126">
          <cell r="J3126" t="str">
            <v/>
          </cell>
        </row>
        <row r="3127">
          <cell r="J3127" t="str">
            <v/>
          </cell>
        </row>
        <row r="3128">
          <cell r="J3128" t="str">
            <v/>
          </cell>
        </row>
        <row r="3129">
          <cell r="J3129" t="str">
            <v/>
          </cell>
        </row>
        <row r="3130">
          <cell r="J3130" t="str">
            <v/>
          </cell>
        </row>
        <row r="3131">
          <cell r="J3131" t="str">
            <v/>
          </cell>
        </row>
        <row r="3132">
          <cell r="J3132" t="str">
            <v/>
          </cell>
        </row>
        <row r="3133">
          <cell r="J3133" t="str">
            <v/>
          </cell>
        </row>
        <row r="3134">
          <cell r="J3134" t="str">
            <v/>
          </cell>
        </row>
        <row r="3135">
          <cell r="J3135" t="str">
            <v/>
          </cell>
        </row>
        <row r="3136">
          <cell r="J3136" t="str">
            <v/>
          </cell>
        </row>
        <row r="3137">
          <cell r="J3137" t="str">
            <v/>
          </cell>
        </row>
        <row r="3138">
          <cell r="J3138" t="str">
            <v/>
          </cell>
        </row>
        <row r="3139">
          <cell r="J3139" t="str">
            <v/>
          </cell>
        </row>
        <row r="3140">
          <cell r="J3140" t="str">
            <v/>
          </cell>
        </row>
        <row r="3141">
          <cell r="J3141" t="str">
            <v/>
          </cell>
        </row>
        <row r="3142">
          <cell r="J3142" t="str">
            <v/>
          </cell>
        </row>
        <row r="3143">
          <cell r="J3143" t="str">
            <v/>
          </cell>
        </row>
        <row r="3144">
          <cell r="J3144" t="str">
            <v/>
          </cell>
        </row>
        <row r="3145">
          <cell r="J3145" t="str">
            <v/>
          </cell>
        </row>
        <row r="3146">
          <cell r="J3146" t="str">
            <v/>
          </cell>
        </row>
        <row r="3147">
          <cell r="J3147" t="str">
            <v/>
          </cell>
        </row>
        <row r="3148">
          <cell r="J3148" t="str">
            <v/>
          </cell>
        </row>
        <row r="3149">
          <cell r="J3149" t="str">
            <v/>
          </cell>
        </row>
        <row r="3150">
          <cell r="J3150" t="str">
            <v/>
          </cell>
        </row>
        <row r="3151">
          <cell r="J3151" t="str">
            <v/>
          </cell>
        </row>
        <row r="3152">
          <cell r="J3152" t="str">
            <v/>
          </cell>
        </row>
        <row r="3153">
          <cell r="J3153" t="str">
            <v/>
          </cell>
        </row>
        <row r="3154">
          <cell r="J3154" t="str">
            <v/>
          </cell>
        </row>
        <row r="3155">
          <cell r="J3155" t="str">
            <v/>
          </cell>
        </row>
        <row r="3156">
          <cell r="J3156" t="str">
            <v/>
          </cell>
        </row>
        <row r="3157">
          <cell r="J3157" t="str">
            <v/>
          </cell>
        </row>
        <row r="3158">
          <cell r="J3158" t="str">
            <v/>
          </cell>
        </row>
        <row r="3159">
          <cell r="J3159" t="str">
            <v/>
          </cell>
        </row>
        <row r="3160">
          <cell r="J3160" t="str">
            <v/>
          </cell>
        </row>
        <row r="3161">
          <cell r="J3161" t="str">
            <v/>
          </cell>
        </row>
        <row r="3162">
          <cell r="J3162" t="str">
            <v/>
          </cell>
        </row>
        <row r="3163">
          <cell r="J3163" t="str">
            <v/>
          </cell>
        </row>
        <row r="3164">
          <cell r="J3164" t="str">
            <v/>
          </cell>
        </row>
        <row r="3165">
          <cell r="J3165" t="str">
            <v/>
          </cell>
        </row>
        <row r="3166">
          <cell r="J3166" t="str">
            <v/>
          </cell>
        </row>
        <row r="3167">
          <cell r="J3167" t="str">
            <v/>
          </cell>
        </row>
        <row r="3168">
          <cell r="J3168" t="str">
            <v/>
          </cell>
        </row>
        <row r="3169">
          <cell r="J3169" t="str">
            <v/>
          </cell>
        </row>
        <row r="3170">
          <cell r="J3170" t="str">
            <v/>
          </cell>
        </row>
        <row r="3171">
          <cell r="J3171" t="str">
            <v/>
          </cell>
        </row>
        <row r="3172">
          <cell r="J3172" t="str">
            <v/>
          </cell>
        </row>
        <row r="3173">
          <cell r="J3173" t="str">
            <v/>
          </cell>
        </row>
        <row r="3174">
          <cell r="J3174" t="str">
            <v/>
          </cell>
        </row>
        <row r="3175">
          <cell r="J3175" t="str">
            <v/>
          </cell>
        </row>
        <row r="3176">
          <cell r="J3176" t="str">
            <v/>
          </cell>
        </row>
        <row r="3177">
          <cell r="J3177" t="str">
            <v/>
          </cell>
        </row>
        <row r="3178">
          <cell r="J3178" t="str">
            <v/>
          </cell>
        </row>
        <row r="3179">
          <cell r="J3179" t="str">
            <v/>
          </cell>
        </row>
        <row r="3180">
          <cell r="J3180" t="str">
            <v/>
          </cell>
        </row>
        <row r="3181">
          <cell r="J3181" t="str">
            <v/>
          </cell>
        </row>
        <row r="3182">
          <cell r="J3182" t="str">
            <v/>
          </cell>
        </row>
        <row r="3183">
          <cell r="J3183" t="str">
            <v/>
          </cell>
        </row>
        <row r="3184">
          <cell r="J3184" t="str">
            <v/>
          </cell>
        </row>
        <row r="3185">
          <cell r="J3185" t="str">
            <v/>
          </cell>
        </row>
        <row r="3186">
          <cell r="J3186" t="str">
            <v/>
          </cell>
        </row>
        <row r="3187">
          <cell r="J3187" t="str">
            <v/>
          </cell>
        </row>
        <row r="3188">
          <cell r="J3188" t="str">
            <v/>
          </cell>
        </row>
        <row r="3189">
          <cell r="J3189" t="str">
            <v/>
          </cell>
        </row>
        <row r="3190">
          <cell r="J3190" t="str">
            <v/>
          </cell>
        </row>
        <row r="3191">
          <cell r="J3191" t="str">
            <v/>
          </cell>
        </row>
        <row r="3192">
          <cell r="J3192" t="str">
            <v/>
          </cell>
        </row>
        <row r="3193">
          <cell r="J3193" t="str">
            <v/>
          </cell>
        </row>
        <row r="3194">
          <cell r="J3194" t="str">
            <v/>
          </cell>
        </row>
        <row r="3195">
          <cell r="J3195" t="str">
            <v/>
          </cell>
        </row>
        <row r="3196">
          <cell r="J3196" t="str">
            <v/>
          </cell>
        </row>
        <row r="3197">
          <cell r="J3197" t="str">
            <v/>
          </cell>
        </row>
        <row r="3198">
          <cell r="J3198" t="str">
            <v/>
          </cell>
        </row>
        <row r="3199">
          <cell r="J3199" t="str">
            <v/>
          </cell>
        </row>
        <row r="3200">
          <cell r="J3200" t="str">
            <v/>
          </cell>
        </row>
        <row r="3201">
          <cell r="J3201" t="str">
            <v/>
          </cell>
        </row>
        <row r="3202">
          <cell r="J3202" t="str">
            <v/>
          </cell>
        </row>
        <row r="3203">
          <cell r="J3203" t="str">
            <v/>
          </cell>
        </row>
        <row r="3204">
          <cell r="J3204" t="str">
            <v/>
          </cell>
        </row>
        <row r="3205">
          <cell r="J3205" t="str">
            <v/>
          </cell>
        </row>
        <row r="3206">
          <cell r="J3206" t="str">
            <v/>
          </cell>
        </row>
        <row r="3207">
          <cell r="J3207" t="str">
            <v/>
          </cell>
        </row>
        <row r="3208">
          <cell r="J3208" t="str">
            <v/>
          </cell>
        </row>
        <row r="3209">
          <cell r="J3209" t="str">
            <v/>
          </cell>
        </row>
        <row r="3210">
          <cell r="J3210" t="str">
            <v/>
          </cell>
        </row>
        <row r="3211">
          <cell r="J3211" t="str">
            <v/>
          </cell>
        </row>
        <row r="3212">
          <cell r="J3212" t="str">
            <v/>
          </cell>
        </row>
        <row r="3213">
          <cell r="J3213" t="str">
            <v/>
          </cell>
        </row>
        <row r="3214">
          <cell r="J3214" t="str">
            <v/>
          </cell>
        </row>
        <row r="3215">
          <cell r="J3215" t="str">
            <v/>
          </cell>
        </row>
        <row r="3216">
          <cell r="J3216" t="str">
            <v/>
          </cell>
        </row>
        <row r="3217">
          <cell r="J3217" t="str">
            <v/>
          </cell>
        </row>
        <row r="3218">
          <cell r="J3218" t="str">
            <v/>
          </cell>
        </row>
        <row r="3219">
          <cell r="J3219" t="str">
            <v/>
          </cell>
        </row>
        <row r="3220">
          <cell r="J3220" t="str">
            <v/>
          </cell>
        </row>
        <row r="3221">
          <cell r="J3221" t="str">
            <v/>
          </cell>
        </row>
        <row r="3222">
          <cell r="J3222" t="str">
            <v/>
          </cell>
        </row>
        <row r="3223">
          <cell r="J3223" t="str">
            <v/>
          </cell>
        </row>
        <row r="3224">
          <cell r="J3224" t="str">
            <v/>
          </cell>
        </row>
        <row r="3225">
          <cell r="J3225" t="str">
            <v/>
          </cell>
        </row>
        <row r="3226">
          <cell r="J3226" t="str">
            <v/>
          </cell>
        </row>
        <row r="3227">
          <cell r="J3227" t="str">
            <v/>
          </cell>
        </row>
        <row r="3228">
          <cell r="J3228" t="str">
            <v/>
          </cell>
        </row>
        <row r="3229">
          <cell r="J3229" t="str">
            <v/>
          </cell>
        </row>
        <row r="3230">
          <cell r="J3230" t="str">
            <v/>
          </cell>
        </row>
        <row r="3231">
          <cell r="J3231" t="str">
            <v/>
          </cell>
        </row>
        <row r="3232">
          <cell r="J3232" t="str">
            <v/>
          </cell>
        </row>
        <row r="3233">
          <cell r="J3233" t="str">
            <v/>
          </cell>
        </row>
        <row r="3234">
          <cell r="J3234" t="str">
            <v/>
          </cell>
        </row>
        <row r="3235">
          <cell r="J3235" t="str">
            <v/>
          </cell>
        </row>
        <row r="3236">
          <cell r="J3236" t="str">
            <v/>
          </cell>
        </row>
        <row r="3237">
          <cell r="J3237" t="str">
            <v/>
          </cell>
        </row>
        <row r="3238">
          <cell r="J3238" t="str">
            <v/>
          </cell>
        </row>
        <row r="3239">
          <cell r="J3239" t="str">
            <v/>
          </cell>
        </row>
        <row r="3240">
          <cell r="J3240" t="str">
            <v/>
          </cell>
        </row>
        <row r="3241">
          <cell r="J3241" t="str">
            <v/>
          </cell>
        </row>
        <row r="3242">
          <cell r="J3242" t="str">
            <v/>
          </cell>
        </row>
        <row r="3243">
          <cell r="J3243" t="str">
            <v/>
          </cell>
        </row>
        <row r="3244">
          <cell r="J3244" t="str">
            <v/>
          </cell>
        </row>
        <row r="3245">
          <cell r="J3245" t="str">
            <v/>
          </cell>
        </row>
        <row r="3246">
          <cell r="J3246" t="str">
            <v/>
          </cell>
        </row>
        <row r="3247">
          <cell r="J3247" t="str">
            <v/>
          </cell>
        </row>
        <row r="3248">
          <cell r="J3248" t="str">
            <v/>
          </cell>
        </row>
        <row r="3249">
          <cell r="J3249" t="str">
            <v/>
          </cell>
        </row>
        <row r="3250">
          <cell r="J3250" t="str">
            <v/>
          </cell>
        </row>
        <row r="3251">
          <cell r="J3251" t="str">
            <v/>
          </cell>
        </row>
        <row r="3252">
          <cell r="J3252" t="str">
            <v/>
          </cell>
        </row>
        <row r="3253">
          <cell r="J3253" t="str">
            <v/>
          </cell>
        </row>
        <row r="3254">
          <cell r="J3254" t="str">
            <v/>
          </cell>
        </row>
        <row r="3255">
          <cell r="J3255" t="str">
            <v/>
          </cell>
        </row>
        <row r="3256">
          <cell r="J3256" t="str">
            <v/>
          </cell>
        </row>
        <row r="3257">
          <cell r="J3257" t="str">
            <v/>
          </cell>
        </row>
        <row r="3258">
          <cell r="J3258" t="str">
            <v/>
          </cell>
        </row>
        <row r="3259">
          <cell r="J3259" t="str">
            <v/>
          </cell>
        </row>
        <row r="3260">
          <cell r="J3260" t="str">
            <v/>
          </cell>
        </row>
        <row r="3261">
          <cell r="J3261" t="str">
            <v/>
          </cell>
        </row>
        <row r="3262">
          <cell r="J3262" t="str">
            <v/>
          </cell>
        </row>
        <row r="3263">
          <cell r="J3263" t="str">
            <v/>
          </cell>
        </row>
        <row r="3264">
          <cell r="J3264" t="str">
            <v/>
          </cell>
        </row>
        <row r="3265">
          <cell r="J3265" t="str">
            <v/>
          </cell>
        </row>
        <row r="3266">
          <cell r="J3266" t="str">
            <v/>
          </cell>
        </row>
        <row r="3267">
          <cell r="J3267" t="str">
            <v/>
          </cell>
        </row>
        <row r="3268">
          <cell r="J3268" t="str">
            <v/>
          </cell>
        </row>
        <row r="3269">
          <cell r="J3269" t="str">
            <v/>
          </cell>
        </row>
        <row r="3270">
          <cell r="J3270" t="str">
            <v/>
          </cell>
        </row>
        <row r="3271">
          <cell r="J3271" t="str">
            <v/>
          </cell>
        </row>
        <row r="3272">
          <cell r="J3272" t="str">
            <v/>
          </cell>
        </row>
        <row r="3273">
          <cell r="J3273" t="str">
            <v/>
          </cell>
        </row>
        <row r="3274">
          <cell r="J3274" t="str">
            <v/>
          </cell>
        </row>
        <row r="3275">
          <cell r="J3275" t="str">
            <v/>
          </cell>
        </row>
        <row r="3276">
          <cell r="J3276" t="str">
            <v/>
          </cell>
        </row>
        <row r="3277">
          <cell r="J3277" t="str">
            <v/>
          </cell>
        </row>
        <row r="3278">
          <cell r="J3278" t="str">
            <v/>
          </cell>
        </row>
        <row r="3279">
          <cell r="J3279" t="str">
            <v/>
          </cell>
        </row>
        <row r="3280">
          <cell r="J3280" t="str">
            <v/>
          </cell>
        </row>
        <row r="3281">
          <cell r="J3281" t="str">
            <v/>
          </cell>
        </row>
        <row r="3282">
          <cell r="J3282" t="str">
            <v/>
          </cell>
        </row>
        <row r="3283">
          <cell r="J3283" t="str">
            <v/>
          </cell>
        </row>
        <row r="3284">
          <cell r="J3284" t="str">
            <v/>
          </cell>
        </row>
        <row r="3285">
          <cell r="J3285" t="str">
            <v/>
          </cell>
        </row>
        <row r="3286">
          <cell r="J3286" t="str">
            <v/>
          </cell>
        </row>
        <row r="3287">
          <cell r="J3287" t="str">
            <v/>
          </cell>
        </row>
        <row r="3288">
          <cell r="J3288" t="str">
            <v/>
          </cell>
        </row>
        <row r="3289">
          <cell r="J3289" t="str">
            <v/>
          </cell>
        </row>
        <row r="3290">
          <cell r="J3290" t="str">
            <v/>
          </cell>
        </row>
        <row r="3291">
          <cell r="J3291" t="str">
            <v/>
          </cell>
        </row>
        <row r="3292">
          <cell r="J3292" t="str">
            <v/>
          </cell>
        </row>
        <row r="3293">
          <cell r="J3293" t="str">
            <v/>
          </cell>
        </row>
        <row r="3294">
          <cell r="J3294" t="str">
            <v/>
          </cell>
        </row>
        <row r="3295">
          <cell r="J3295" t="str">
            <v/>
          </cell>
        </row>
        <row r="3296">
          <cell r="J3296" t="str">
            <v/>
          </cell>
        </row>
        <row r="3297">
          <cell r="J3297" t="str">
            <v/>
          </cell>
        </row>
        <row r="3298">
          <cell r="J3298" t="str">
            <v/>
          </cell>
        </row>
        <row r="3299">
          <cell r="J3299" t="str">
            <v/>
          </cell>
        </row>
        <row r="3300">
          <cell r="J3300" t="str">
            <v/>
          </cell>
        </row>
        <row r="3301">
          <cell r="J3301" t="str">
            <v/>
          </cell>
        </row>
        <row r="3302">
          <cell r="J3302" t="str">
            <v/>
          </cell>
        </row>
        <row r="3303">
          <cell r="J3303" t="str">
            <v/>
          </cell>
        </row>
        <row r="3304">
          <cell r="J3304" t="str">
            <v/>
          </cell>
        </row>
        <row r="3305">
          <cell r="J3305" t="str">
            <v/>
          </cell>
        </row>
        <row r="3306">
          <cell r="J3306" t="str">
            <v/>
          </cell>
        </row>
        <row r="3307">
          <cell r="J3307" t="str">
            <v/>
          </cell>
        </row>
        <row r="3308">
          <cell r="J3308" t="str">
            <v/>
          </cell>
        </row>
        <row r="3309">
          <cell r="J3309" t="str">
            <v/>
          </cell>
        </row>
        <row r="3310">
          <cell r="J3310" t="str">
            <v/>
          </cell>
        </row>
        <row r="3311">
          <cell r="J3311" t="str">
            <v/>
          </cell>
        </row>
        <row r="3312">
          <cell r="J3312" t="str">
            <v/>
          </cell>
        </row>
        <row r="3313">
          <cell r="J3313" t="str">
            <v/>
          </cell>
        </row>
        <row r="3314">
          <cell r="J3314" t="str">
            <v/>
          </cell>
        </row>
        <row r="3315">
          <cell r="J3315" t="str">
            <v/>
          </cell>
        </row>
        <row r="3316">
          <cell r="J3316" t="str">
            <v/>
          </cell>
        </row>
        <row r="3317">
          <cell r="J3317" t="str">
            <v/>
          </cell>
        </row>
        <row r="3318">
          <cell r="J3318" t="str">
            <v/>
          </cell>
        </row>
        <row r="3319">
          <cell r="J3319" t="str">
            <v/>
          </cell>
        </row>
        <row r="3320">
          <cell r="J3320" t="str">
            <v/>
          </cell>
        </row>
        <row r="3321">
          <cell r="J3321" t="str">
            <v/>
          </cell>
        </row>
        <row r="3322">
          <cell r="J3322" t="str">
            <v/>
          </cell>
        </row>
        <row r="3323">
          <cell r="J3323" t="str">
            <v/>
          </cell>
        </row>
        <row r="3324">
          <cell r="J3324" t="str">
            <v/>
          </cell>
        </row>
        <row r="3325">
          <cell r="J3325" t="str">
            <v/>
          </cell>
        </row>
        <row r="3326">
          <cell r="J3326" t="str">
            <v/>
          </cell>
        </row>
        <row r="3327">
          <cell r="J3327" t="str">
            <v/>
          </cell>
        </row>
        <row r="3328">
          <cell r="J3328" t="str">
            <v/>
          </cell>
        </row>
        <row r="3329">
          <cell r="J3329" t="str">
            <v/>
          </cell>
        </row>
        <row r="3330">
          <cell r="J3330" t="str">
            <v/>
          </cell>
        </row>
        <row r="3331">
          <cell r="J3331" t="str">
            <v/>
          </cell>
        </row>
        <row r="3332">
          <cell r="J3332" t="str">
            <v/>
          </cell>
        </row>
        <row r="3333">
          <cell r="J3333" t="str">
            <v/>
          </cell>
        </row>
        <row r="3334">
          <cell r="J3334" t="str">
            <v/>
          </cell>
        </row>
        <row r="3335">
          <cell r="J3335" t="str">
            <v/>
          </cell>
        </row>
        <row r="3336">
          <cell r="J3336" t="str">
            <v/>
          </cell>
        </row>
        <row r="3337">
          <cell r="J3337" t="str">
            <v/>
          </cell>
        </row>
        <row r="3338">
          <cell r="J3338" t="str">
            <v/>
          </cell>
        </row>
        <row r="3339">
          <cell r="J3339" t="str">
            <v/>
          </cell>
        </row>
        <row r="3340">
          <cell r="J3340" t="str">
            <v/>
          </cell>
        </row>
        <row r="3341">
          <cell r="J3341" t="str">
            <v/>
          </cell>
        </row>
        <row r="3342">
          <cell r="J3342" t="str">
            <v/>
          </cell>
        </row>
        <row r="3343">
          <cell r="J3343" t="str">
            <v/>
          </cell>
        </row>
        <row r="3344">
          <cell r="J3344" t="str">
            <v/>
          </cell>
        </row>
        <row r="3345">
          <cell r="J3345" t="str">
            <v/>
          </cell>
        </row>
        <row r="3346">
          <cell r="J3346" t="str">
            <v/>
          </cell>
        </row>
        <row r="3347">
          <cell r="J3347" t="str">
            <v/>
          </cell>
        </row>
        <row r="3348">
          <cell r="J3348" t="str">
            <v/>
          </cell>
        </row>
        <row r="3349">
          <cell r="J3349" t="str">
            <v/>
          </cell>
        </row>
        <row r="3350">
          <cell r="J3350" t="str">
            <v/>
          </cell>
        </row>
        <row r="3351">
          <cell r="J3351" t="str">
            <v/>
          </cell>
        </row>
        <row r="3352">
          <cell r="J3352" t="str">
            <v/>
          </cell>
        </row>
        <row r="3353">
          <cell r="J3353" t="str">
            <v/>
          </cell>
        </row>
        <row r="3354">
          <cell r="J3354" t="str">
            <v/>
          </cell>
        </row>
        <row r="3355">
          <cell r="J3355" t="str">
            <v/>
          </cell>
        </row>
        <row r="3356">
          <cell r="J3356" t="str">
            <v/>
          </cell>
        </row>
        <row r="3357">
          <cell r="J3357" t="str">
            <v/>
          </cell>
        </row>
        <row r="3358">
          <cell r="J3358" t="str">
            <v/>
          </cell>
        </row>
        <row r="3359">
          <cell r="J3359" t="str">
            <v/>
          </cell>
        </row>
        <row r="3360">
          <cell r="J3360" t="str">
            <v/>
          </cell>
        </row>
        <row r="3361">
          <cell r="J3361" t="str">
            <v/>
          </cell>
        </row>
        <row r="3362">
          <cell r="J3362" t="str">
            <v/>
          </cell>
        </row>
        <row r="3363">
          <cell r="J3363" t="str">
            <v/>
          </cell>
        </row>
        <row r="3364">
          <cell r="J3364" t="str">
            <v/>
          </cell>
        </row>
        <row r="3365">
          <cell r="J3365" t="str">
            <v/>
          </cell>
        </row>
        <row r="3366">
          <cell r="J3366" t="str">
            <v/>
          </cell>
        </row>
        <row r="3367">
          <cell r="J3367" t="str">
            <v/>
          </cell>
        </row>
        <row r="3368">
          <cell r="J3368" t="str">
            <v/>
          </cell>
        </row>
        <row r="3369">
          <cell r="J3369" t="str">
            <v/>
          </cell>
        </row>
        <row r="3370">
          <cell r="J3370" t="str">
            <v/>
          </cell>
        </row>
        <row r="3371">
          <cell r="J3371" t="str">
            <v/>
          </cell>
        </row>
        <row r="3372">
          <cell r="J3372" t="str">
            <v/>
          </cell>
        </row>
        <row r="3373">
          <cell r="J3373" t="str">
            <v/>
          </cell>
        </row>
        <row r="3374">
          <cell r="J3374" t="str">
            <v/>
          </cell>
        </row>
        <row r="3375">
          <cell r="J3375" t="str">
            <v/>
          </cell>
        </row>
        <row r="3376">
          <cell r="J3376" t="str">
            <v/>
          </cell>
        </row>
        <row r="3377">
          <cell r="J3377" t="str">
            <v/>
          </cell>
        </row>
        <row r="3378">
          <cell r="J3378" t="str">
            <v/>
          </cell>
        </row>
        <row r="3379">
          <cell r="J3379" t="str">
            <v>x</v>
          </cell>
        </row>
        <row r="3380">
          <cell r="J3380" t="str">
            <v>x</v>
          </cell>
        </row>
        <row r="3381">
          <cell r="J3381" t="str">
            <v>x</v>
          </cell>
        </row>
        <row r="3382">
          <cell r="J3382" t="str">
            <v>x</v>
          </cell>
        </row>
        <row r="3383">
          <cell r="J3383" t="str">
            <v>x</v>
          </cell>
        </row>
        <row r="3384">
          <cell r="J3384" t="str">
            <v>x</v>
          </cell>
        </row>
        <row r="3385">
          <cell r="J3385" t="str">
            <v>x</v>
          </cell>
        </row>
        <row r="3386">
          <cell r="J3386" t="str">
            <v>x</v>
          </cell>
        </row>
        <row r="3387">
          <cell r="J3387" t="str">
            <v>x</v>
          </cell>
        </row>
        <row r="3388">
          <cell r="J3388" t="str">
            <v/>
          </cell>
        </row>
        <row r="3389">
          <cell r="J3389" t="str">
            <v/>
          </cell>
        </row>
        <row r="3390">
          <cell r="J3390" t="str">
            <v/>
          </cell>
        </row>
        <row r="3391">
          <cell r="J3391" t="str">
            <v/>
          </cell>
        </row>
        <row r="3392">
          <cell r="J3392" t="str">
            <v/>
          </cell>
        </row>
        <row r="3393">
          <cell r="J3393" t="str">
            <v/>
          </cell>
        </row>
        <row r="3394">
          <cell r="J3394" t="str">
            <v/>
          </cell>
        </row>
        <row r="3395">
          <cell r="J3395" t="str">
            <v/>
          </cell>
        </row>
        <row r="3396">
          <cell r="J3396" t="str">
            <v/>
          </cell>
        </row>
        <row r="3397">
          <cell r="J3397" t="str">
            <v/>
          </cell>
        </row>
        <row r="3398">
          <cell r="J3398" t="str">
            <v/>
          </cell>
        </row>
        <row r="3399">
          <cell r="J3399" t="str">
            <v/>
          </cell>
        </row>
        <row r="3400">
          <cell r="J3400" t="str">
            <v/>
          </cell>
        </row>
        <row r="3401">
          <cell r="J3401" t="str">
            <v/>
          </cell>
        </row>
        <row r="3402">
          <cell r="J3402" t="str">
            <v/>
          </cell>
        </row>
        <row r="3403">
          <cell r="J3403" t="str">
            <v/>
          </cell>
        </row>
        <row r="3404">
          <cell r="J3404" t="str">
            <v/>
          </cell>
        </row>
        <row r="3405">
          <cell r="J3405" t="str">
            <v/>
          </cell>
        </row>
        <row r="3406">
          <cell r="J3406" t="str">
            <v/>
          </cell>
        </row>
        <row r="3407">
          <cell r="J3407" t="str">
            <v/>
          </cell>
        </row>
        <row r="3408">
          <cell r="J3408" t="str">
            <v/>
          </cell>
        </row>
        <row r="3409">
          <cell r="J3409" t="str">
            <v/>
          </cell>
        </row>
        <row r="3410">
          <cell r="J3410" t="str">
            <v/>
          </cell>
        </row>
        <row r="3411">
          <cell r="J3411" t="str">
            <v/>
          </cell>
        </row>
        <row r="3412">
          <cell r="J3412" t="str">
            <v/>
          </cell>
        </row>
        <row r="3413">
          <cell r="J3413" t="str">
            <v/>
          </cell>
        </row>
        <row r="3414">
          <cell r="J3414" t="str">
            <v/>
          </cell>
        </row>
        <row r="3415">
          <cell r="J3415" t="str">
            <v/>
          </cell>
        </row>
        <row r="3416">
          <cell r="J3416" t="str">
            <v/>
          </cell>
        </row>
        <row r="3417">
          <cell r="J3417" t="str">
            <v/>
          </cell>
        </row>
        <row r="3418">
          <cell r="J3418" t="str">
            <v/>
          </cell>
        </row>
        <row r="3419">
          <cell r="J3419" t="str">
            <v/>
          </cell>
        </row>
        <row r="3420">
          <cell r="J3420" t="str">
            <v/>
          </cell>
        </row>
        <row r="3421">
          <cell r="J3421" t="str">
            <v/>
          </cell>
        </row>
        <row r="3422">
          <cell r="J3422" t="str">
            <v/>
          </cell>
        </row>
        <row r="3423">
          <cell r="J3423" t="str">
            <v/>
          </cell>
        </row>
        <row r="3424">
          <cell r="J3424" t="str">
            <v/>
          </cell>
        </row>
        <row r="3425">
          <cell r="J3425" t="str">
            <v/>
          </cell>
        </row>
        <row r="3426">
          <cell r="J3426" t="str">
            <v/>
          </cell>
        </row>
        <row r="3427">
          <cell r="J3427" t="str">
            <v/>
          </cell>
        </row>
        <row r="3428">
          <cell r="J3428" t="str">
            <v/>
          </cell>
        </row>
        <row r="3429">
          <cell r="J3429" t="str">
            <v/>
          </cell>
        </row>
        <row r="3430">
          <cell r="J3430" t="str">
            <v/>
          </cell>
        </row>
        <row r="3431">
          <cell r="J3431" t="str">
            <v/>
          </cell>
        </row>
        <row r="3432">
          <cell r="J3432" t="str">
            <v/>
          </cell>
        </row>
        <row r="3433">
          <cell r="J3433" t="str">
            <v/>
          </cell>
        </row>
        <row r="3434">
          <cell r="J3434" t="str">
            <v/>
          </cell>
        </row>
        <row r="3435">
          <cell r="J3435" t="str">
            <v/>
          </cell>
        </row>
        <row r="3436">
          <cell r="J3436" t="str">
            <v/>
          </cell>
        </row>
        <row r="3437">
          <cell r="J3437" t="str">
            <v/>
          </cell>
        </row>
        <row r="3438">
          <cell r="J3438" t="str">
            <v/>
          </cell>
        </row>
        <row r="3439">
          <cell r="J3439" t="str">
            <v/>
          </cell>
        </row>
        <row r="3440">
          <cell r="J3440" t="str">
            <v/>
          </cell>
        </row>
        <row r="3441">
          <cell r="J3441" t="str">
            <v/>
          </cell>
        </row>
        <row r="3442">
          <cell r="J3442" t="str">
            <v/>
          </cell>
        </row>
        <row r="3443">
          <cell r="J3443" t="str">
            <v/>
          </cell>
        </row>
        <row r="3444">
          <cell r="J3444" t="str">
            <v/>
          </cell>
        </row>
        <row r="3445">
          <cell r="J3445" t="str">
            <v/>
          </cell>
        </row>
        <row r="3446">
          <cell r="J3446" t="str">
            <v/>
          </cell>
        </row>
        <row r="3447">
          <cell r="J3447" t="str">
            <v/>
          </cell>
        </row>
        <row r="3448">
          <cell r="J3448" t="str">
            <v/>
          </cell>
        </row>
        <row r="3449">
          <cell r="J3449" t="str">
            <v/>
          </cell>
        </row>
        <row r="3450">
          <cell r="J3450" t="str">
            <v/>
          </cell>
        </row>
        <row r="3451">
          <cell r="J3451" t="str">
            <v/>
          </cell>
        </row>
        <row r="3452">
          <cell r="J3452" t="str">
            <v/>
          </cell>
        </row>
        <row r="3453">
          <cell r="J3453" t="str">
            <v/>
          </cell>
        </row>
        <row r="3454">
          <cell r="J3454" t="str">
            <v/>
          </cell>
        </row>
        <row r="3455">
          <cell r="J3455" t="str">
            <v/>
          </cell>
        </row>
        <row r="3456">
          <cell r="J3456" t="str">
            <v/>
          </cell>
        </row>
        <row r="3457">
          <cell r="J3457" t="str">
            <v/>
          </cell>
        </row>
        <row r="3458">
          <cell r="J3458" t="str">
            <v/>
          </cell>
        </row>
        <row r="3459">
          <cell r="J3459" t="str">
            <v/>
          </cell>
        </row>
        <row r="3460">
          <cell r="J3460" t="str">
            <v/>
          </cell>
        </row>
        <row r="3461">
          <cell r="J3461" t="str">
            <v/>
          </cell>
        </row>
        <row r="3462">
          <cell r="J3462" t="str">
            <v/>
          </cell>
        </row>
        <row r="3463">
          <cell r="J3463" t="str">
            <v/>
          </cell>
        </row>
        <row r="3464">
          <cell r="J3464" t="str">
            <v/>
          </cell>
        </row>
        <row r="3465">
          <cell r="J3465" t="str">
            <v/>
          </cell>
        </row>
        <row r="3466">
          <cell r="J3466" t="str">
            <v/>
          </cell>
        </row>
        <row r="3467">
          <cell r="J3467" t="str">
            <v/>
          </cell>
        </row>
        <row r="3468">
          <cell r="J3468" t="str">
            <v/>
          </cell>
        </row>
        <row r="3469">
          <cell r="J3469" t="str">
            <v/>
          </cell>
        </row>
        <row r="3470">
          <cell r="J3470" t="str">
            <v/>
          </cell>
        </row>
        <row r="3471">
          <cell r="J3471" t="str">
            <v/>
          </cell>
        </row>
        <row r="3472">
          <cell r="J3472" t="str">
            <v/>
          </cell>
        </row>
        <row r="3473">
          <cell r="J3473" t="str">
            <v/>
          </cell>
        </row>
        <row r="3474">
          <cell r="J3474" t="str">
            <v/>
          </cell>
        </row>
        <row r="3475">
          <cell r="J3475" t="str">
            <v/>
          </cell>
        </row>
        <row r="3476">
          <cell r="J3476" t="str">
            <v/>
          </cell>
        </row>
        <row r="3477">
          <cell r="J3477" t="str">
            <v/>
          </cell>
        </row>
        <row r="3478">
          <cell r="J3478" t="str">
            <v/>
          </cell>
        </row>
        <row r="3479">
          <cell r="J3479" t="str">
            <v/>
          </cell>
        </row>
        <row r="3480">
          <cell r="J3480" t="str">
            <v/>
          </cell>
        </row>
        <row r="3481">
          <cell r="J3481" t="str">
            <v/>
          </cell>
        </row>
        <row r="3482">
          <cell r="J3482" t="str">
            <v/>
          </cell>
        </row>
        <row r="3483">
          <cell r="J3483" t="str">
            <v/>
          </cell>
        </row>
        <row r="3484">
          <cell r="J3484" t="str">
            <v/>
          </cell>
        </row>
        <row r="3485">
          <cell r="J3485" t="str">
            <v/>
          </cell>
        </row>
        <row r="3486">
          <cell r="J3486" t="str">
            <v/>
          </cell>
        </row>
        <row r="3487">
          <cell r="J3487" t="str">
            <v/>
          </cell>
        </row>
        <row r="3488">
          <cell r="J3488" t="str">
            <v/>
          </cell>
        </row>
        <row r="3489">
          <cell r="J3489" t="str">
            <v/>
          </cell>
        </row>
        <row r="3490">
          <cell r="J3490" t="str">
            <v/>
          </cell>
        </row>
        <row r="3491">
          <cell r="J3491" t="str">
            <v/>
          </cell>
        </row>
        <row r="3492">
          <cell r="J3492" t="str">
            <v/>
          </cell>
        </row>
        <row r="3493">
          <cell r="J3493" t="str">
            <v/>
          </cell>
        </row>
        <row r="3494">
          <cell r="J3494" t="str">
            <v/>
          </cell>
        </row>
        <row r="3495">
          <cell r="J3495" t="str">
            <v/>
          </cell>
        </row>
        <row r="3496">
          <cell r="J3496" t="str">
            <v/>
          </cell>
        </row>
        <row r="3497">
          <cell r="J3497" t="str">
            <v/>
          </cell>
        </row>
        <row r="3498">
          <cell r="J3498" t="str">
            <v/>
          </cell>
        </row>
        <row r="3499">
          <cell r="J3499" t="str">
            <v/>
          </cell>
        </row>
        <row r="3500">
          <cell r="J3500" t="str">
            <v/>
          </cell>
        </row>
        <row r="3501">
          <cell r="J3501" t="str">
            <v/>
          </cell>
        </row>
        <row r="3502">
          <cell r="J3502" t="str">
            <v/>
          </cell>
        </row>
        <row r="3503">
          <cell r="J3503" t="str">
            <v/>
          </cell>
        </row>
        <row r="3504">
          <cell r="J3504" t="str">
            <v/>
          </cell>
        </row>
        <row r="3505">
          <cell r="J3505" t="str">
            <v/>
          </cell>
        </row>
        <row r="3506">
          <cell r="J3506" t="str">
            <v/>
          </cell>
        </row>
        <row r="3507">
          <cell r="J3507" t="str">
            <v/>
          </cell>
        </row>
        <row r="3508">
          <cell r="J3508" t="str">
            <v/>
          </cell>
        </row>
        <row r="3509">
          <cell r="J3509" t="str">
            <v/>
          </cell>
        </row>
        <row r="3510">
          <cell r="J3510" t="str">
            <v/>
          </cell>
        </row>
        <row r="3511">
          <cell r="J3511" t="str">
            <v/>
          </cell>
        </row>
        <row r="3512">
          <cell r="J3512" t="str">
            <v/>
          </cell>
        </row>
        <row r="3513">
          <cell r="J3513" t="str">
            <v/>
          </cell>
        </row>
        <row r="3514">
          <cell r="J3514" t="str">
            <v/>
          </cell>
        </row>
        <row r="3515">
          <cell r="J3515" t="str">
            <v/>
          </cell>
        </row>
        <row r="3516">
          <cell r="J3516" t="str">
            <v/>
          </cell>
        </row>
        <row r="3517">
          <cell r="J3517" t="str">
            <v/>
          </cell>
        </row>
        <row r="3518">
          <cell r="J3518" t="str">
            <v/>
          </cell>
        </row>
        <row r="3519">
          <cell r="J3519" t="str">
            <v/>
          </cell>
        </row>
        <row r="3520">
          <cell r="J3520" t="str">
            <v/>
          </cell>
        </row>
        <row r="3521">
          <cell r="J3521" t="str">
            <v/>
          </cell>
        </row>
        <row r="3522">
          <cell r="J3522" t="str">
            <v/>
          </cell>
        </row>
        <row r="3523">
          <cell r="J3523" t="str">
            <v/>
          </cell>
        </row>
        <row r="3524">
          <cell r="J3524" t="str">
            <v/>
          </cell>
        </row>
        <row r="3525">
          <cell r="J3525" t="str">
            <v/>
          </cell>
        </row>
        <row r="3526">
          <cell r="J3526" t="str">
            <v/>
          </cell>
        </row>
        <row r="3527">
          <cell r="J3527" t="str">
            <v/>
          </cell>
        </row>
        <row r="3528">
          <cell r="J3528" t="str">
            <v/>
          </cell>
        </row>
        <row r="3529">
          <cell r="J3529" t="str">
            <v/>
          </cell>
        </row>
        <row r="3530">
          <cell r="J3530" t="str">
            <v/>
          </cell>
        </row>
        <row r="3531">
          <cell r="J3531" t="str">
            <v/>
          </cell>
        </row>
        <row r="3532">
          <cell r="J3532" t="str">
            <v/>
          </cell>
        </row>
        <row r="3533">
          <cell r="J3533" t="str">
            <v/>
          </cell>
        </row>
        <row r="3534">
          <cell r="J3534" t="str">
            <v/>
          </cell>
        </row>
        <row r="3535">
          <cell r="J3535" t="str">
            <v/>
          </cell>
        </row>
        <row r="3536">
          <cell r="J3536" t="str">
            <v/>
          </cell>
        </row>
        <row r="3537">
          <cell r="J3537" t="str">
            <v/>
          </cell>
        </row>
        <row r="3538">
          <cell r="J3538" t="str">
            <v/>
          </cell>
        </row>
        <row r="3539">
          <cell r="J3539" t="str">
            <v/>
          </cell>
        </row>
        <row r="3540">
          <cell r="J3540" t="str">
            <v/>
          </cell>
        </row>
        <row r="3541">
          <cell r="J3541" t="str">
            <v/>
          </cell>
        </row>
        <row r="3542">
          <cell r="J3542" t="str">
            <v/>
          </cell>
        </row>
        <row r="3543">
          <cell r="J3543" t="str">
            <v/>
          </cell>
        </row>
        <row r="3544">
          <cell r="J3544" t="str">
            <v/>
          </cell>
        </row>
        <row r="3545">
          <cell r="J3545" t="str">
            <v/>
          </cell>
        </row>
        <row r="3546">
          <cell r="J3546" t="str">
            <v/>
          </cell>
        </row>
        <row r="3547">
          <cell r="J3547" t="str">
            <v/>
          </cell>
        </row>
        <row r="3548">
          <cell r="J3548" t="str">
            <v/>
          </cell>
        </row>
        <row r="3549">
          <cell r="J3549" t="str">
            <v/>
          </cell>
        </row>
        <row r="3550">
          <cell r="J3550" t="str">
            <v/>
          </cell>
        </row>
        <row r="3551">
          <cell r="J3551" t="str">
            <v/>
          </cell>
        </row>
        <row r="3552">
          <cell r="J3552" t="str">
            <v/>
          </cell>
        </row>
        <row r="3553">
          <cell r="J3553" t="str">
            <v/>
          </cell>
        </row>
        <row r="3554">
          <cell r="J3554" t="str">
            <v/>
          </cell>
        </row>
        <row r="3555">
          <cell r="J3555" t="str">
            <v/>
          </cell>
        </row>
        <row r="3556">
          <cell r="J3556" t="str">
            <v/>
          </cell>
        </row>
        <row r="3557">
          <cell r="J3557" t="str">
            <v/>
          </cell>
        </row>
        <row r="3558">
          <cell r="J3558" t="str">
            <v/>
          </cell>
        </row>
        <row r="3559">
          <cell r="J3559" t="str">
            <v/>
          </cell>
        </row>
        <row r="3560">
          <cell r="J3560" t="str">
            <v/>
          </cell>
        </row>
        <row r="3561">
          <cell r="J3561" t="str">
            <v/>
          </cell>
        </row>
        <row r="3562">
          <cell r="J3562" t="str">
            <v/>
          </cell>
        </row>
        <row r="3563">
          <cell r="J3563" t="str">
            <v/>
          </cell>
        </row>
        <row r="3564">
          <cell r="J3564" t="str">
            <v/>
          </cell>
        </row>
        <row r="3565">
          <cell r="J3565" t="str">
            <v/>
          </cell>
        </row>
        <row r="3566">
          <cell r="J3566" t="str">
            <v/>
          </cell>
        </row>
        <row r="3567">
          <cell r="J3567" t="str">
            <v/>
          </cell>
        </row>
        <row r="3568">
          <cell r="J3568" t="str">
            <v/>
          </cell>
        </row>
        <row r="3569">
          <cell r="J3569" t="str">
            <v/>
          </cell>
        </row>
        <row r="3570">
          <cell r="J3570" t="str">
            <v/>
          </cell>
        </row>
        <row r="3571">
          <cell r="J3571" t="str">
            <v/>
          </cell>
        </row>
        <row r="3572">
          <cell r="J3572" t="str">
            <v/>
          </cell>
        </row>
        <row r="3573">
          <cell r="J3573" t="str">
            <v/>
          </cell>
        </row>
        <row r="3574">
          <cell r="J3574" t="str">
            <v/>
          </cell>
        </row>
        <row r="3575">
          <cell r="J3575" t="str">
            <v/>
          </cell>
        </row>
        <row r="3576">
          <cell r="J3576" t="str">
            <v/>
          </cell>
        </row>
        <row r="3577">
          <cell r="J3577" t="str">
            <v/>
          </cell>
        </row>
        <row r="3578">
          <cell r="J3578" t="str">
            <v/>
          </cell>
        </row>
        <row r="3579">
          <cell r="J3579" t="str">
            <v/>
          </cell>
        </row>
        <row r="3580">
          <cell r="J3580" t="str">
            <v/>
          </cell>
        </row>
        <row r="3581">
          <cell r="J3581" t="str">
            <v/>
          </cell>
        </row>
        <row r="3582">
          <cell r="J3582" t="str">
            <v/>
          </cell>
        </row>
        <row r="3583">
          <cell r="J3583" t="str">
            <v/>
          </cell>
        </row>
        <row r="3584">
          <cell r="J3584" t="str">
            <v/>
          </cell>
        </row>
        <row r="3585">
          <cell r="J3585" t="str">
            <v/>
          </cell>
        </row>
        <row r="3586">
          <cell r="J3586" t="str">
            <v/>
          </cell>
        </row>
        <row r="3587">
          <cell r="J3587" t="str">
            <v/>
          </cell>
        </row>
        <row r="3588">
          <cell r="J3588" t="str">
            <v/>
          </cell>
        </row>
        <row r="3589">
          <cell r="J3589" t="str">
            <v/>
          </cell>
        </row>
        <row r="3590">
          <cell r="J3590" t="str">
            <v/>
          </cell>
        </row>
        <row r="3591">
          <cell r="J3591" t="str">
            <v/>
          </cell>
        </row>
        <row r="3592">
          <cell r="J3592" t="str">
            <v/>
          </cell>
        </row>
        <row r="3593">
          <cell r="J3593" t="str">
            <v/>
          </cell>
        </row>
        <row r="3594">
          <cell r="J3594" t="str">
            <v/>
          </cell>
        </row>
        <row r="3595">
          <cell r="J3595" t="str">
            <v/>
          </cell>
        </row>
        <row r="3596">
          <cell r="J3596" t="str">
            <v/>
          </cell>
        </row>
        <row r="3597">
          <cell r="J3597" t="str">
            <v/>
          </cell>
        </row>
        <row r="3598">
          <cell r="J3598" t="str">
            <v/>
          </cell>
        </row>
        <row r="3599">
          <cell r="J3599" t="str">
            <v/>
          </cell>
        </row>
        <row r="3600">
          <cell r="J3600" t="str">
            <v/>
          </cell>
        </row>
        <row r="3601">
          <cell r="J3601" t="str">
            <v/>
          </cell>
        </row>
        <row r="3602">
          <cell r="J3602" t="str">
            <v/>
          </cell>
        </row>
        <row r="3603">
          <cell r="J3603" t="str">
            <v/>
          </cell>
        </row>
        <row r="3604">
          <cell r="J3604" t="str">
            <v/>
          </cell>
        </row>
        <row r="3605">
          <cell r="J3605" t="str">
            <v/>
          </cell>
        </row>
        <row r="3606">
          <cell r="J3606" t="str">
            <v/>
          </cell>
        </row>
        <row r="3607">
          <cell r="J3607" t="str">
            <v/>
          </cell>
        </row>
        <row r="3608">
          <cell r="J3608" t="str">
            <v/>
          </cell>
        </row>
        <row r="3609">
          <cell r="J3609" t="str">
            <v/>
          </cell>
        </row>
        <row r="3610">
          <cell r="J3610" t="str">
            <v/>
          </cell>
        </row>
        <row r="3611">
          <cell r="J3611" t="str">
            <v/>
          </cell>
        </row>
        <row r="3612">
          <cell r="J3612" t="str">
            <v/>
          </cell>
        </row>
        <row r="3613">
          <cell r="J3613" t="str">
            <v/>
          </cell>
        </row>
        <row r="3614">
          <cell r="J3614" t="str">
            <v/>
          </cell>
        </row>
        <row r="3615">
          <cell r="J3615" t="str">
            <v/>
          </cell>
        </row>
        <row r="3616">
          <cell r="J3616" t="str">
            <v/>
          </cell>
        </row>
        <row r="3617">
          <cell r="J3617" t="str">
            <v/>
          </cell>
        </row>
        <row r="3618">
          <cell r="J3618" t="str">
            <v/>
          </cell>
        </row>
        <row r="3619">
          <cell r="J3619" t="str">
            <v/>
          </cell>
        </row>
        <row r="3620">
          <cell r="J3620" t="str">
            <v/>
          </cell>
        </row>
        <row r="3621">
          <cell r="J3621" t="str">
            <v/>
          </cell>
        </row>
        <row r="3622">
          <cell r="J3622" t="str">
            <v/>
          </cell>
        </row>
        <row r="3623">
          <cell r="J3623" t="str">
            <v/>
          </cell>
        </row>
        <row r="3624">
          <cell r="J3624" t="str">
            <v/>
          </cell>
        </row>
        <row r="3625">
          <cell r="J3625" t="str">
            <v/>
          </cell>
        </row>
        <row r="3626">
          <cell r="J3626" t="str">
            <v/>
          </cell>
        </row>
        <row r="3627">
          <cell r="J3627" t="str">
            <v/>
          </cell>
        </row>
        <row r="3628">
          <cell r="J3628" t="str">
            <v/>
          </cell>
        </row>
        <row r="3629">
          <cell r="J3629" t="str">
            <v/>
          </cell>
        </row>
        <row r="3630">
          <cell r="J3630" t="str">
            <v/>
          </cell>
        </row>
        <row r="3631">
          <cell r="J3631" t="str">
            <v/>
          </cell>
        </row>
        <row r="3632">
          <cell r="J3632" t="str">
            <v/>
          </cell>
        </row>
        <row r="3633">
          <cell r="J3633" t="str">
            <v/>
          </cell>
        </row>
        <row r="3634">
          <cell r="J3634" t="str">
            <v/>
          </cell>
        </row>
        <row r="3635">
          <cell r="J3635" t="str">
            <v/>
          </cell>
        </row>
        <row r="3636">
          <cell r="J3636" t="str">
            <v/>
          </cell>
        </row>
        <row r="3637">
          <cell r="J3637" t="str">
            <v/>
          </cell>
        </row>
        <row r="3638">
          <cell r="J3638" t="str">
            <v/>
          </cell>
        </row>
        <row r="3639">
          <cell r="J3639" t="str">
            <v/>
          </cell>
        </row>
        <row r="3640">
          <cell r="J3640" t="str">
            <v/>
          </cell>
        </row>
        <row r="3641">
          <cell r="J3641" t="str">
            <v/>
          </cell>
        </row>
        <row r="3642">
          <cell r="J3642" t="str">
            <v/>
          </cell>
        </row>
        <row r="3643">
          <cell r="J3643" t="str">
            <v/>
          </cell>
        </row>
        <row r="3644">
          <cell r="J3644" t="str">
            <v/>
          </cell>
        </row>
        <row r="3645">
          <cell r="J3645" t="str">
            <v/>
          </cell>
        </row>
        <row r="3646">
          <cell r="J3646" t="str">
            <v/>
          </cell>
        </row>
        <row r="3647">
          <cell r="J3647" t="str">
            <v/>
          </cell>
        </row>
        <row r="3648">
          <cell r="J3648" t="str">
            <v/>
          </cell>
        </row>
        <row r="3649">
          <cell r="J3649" t="str">
            <v/>
          </cell>
        </row>
        <row r="3650">
          <cell r="J3650" t="str">
            <v/>
          </cell>
        </row>
        <row r="3651">
          <cell r="J3651" t="str">
            <v/>
          </cell>
        </row>
        <row r="3652">
          <cell r="J3652" t="str">
            <v/>
          </cell>
        </row>
        <row r="3653">
          <cell r="J3653" t="str">
            <v/>
          </cell>
        </row>
        <row r="3654">
          <cell r="J3654" t="str">
            <v/>
          </cell>
        </row>
        <row r="3655">
          <cell r="J3655" t="str">
            <v/>
          </cell>
        </row>
        <row r="3656">
          <cell r="J3656" t="str">
            <v/>
          </cell>
        </row>
        <row r="3657">
          <cell r="J3657" t="str">
            <v/>
          </cell>
        </row>
        <row r="3658">
          <cell r="J3658" t="str">
            <v/>
          </cell>
        </row>
        <row r="3659">
          <cell r="J3659" t="str">
            <v/>
          </cell>
        </row>
        <row r="3660">
          <cell r="J3660" t="str">
            <v/>
          </cell>
        </row>
        <row r="3661">
          <cell r="J3661" t="str">
            <v/>
          </cell>
        </row>
        <row r="3662">
          <cell r="J3662" t="str">
            <v/>
          </cell>
        </row>
        <row r="3663">
          <cell r="J3663" t="str">
            <v/>
          </cell>
        </row>
        <row r="3664">
          <cell r="J3664" t="str">
            <v/>
          </cell>
        </row>
        <row r="3665">
          <cell r="J3665" t="str">
            <v/>
          </cell>
        </row>
        <row r="3666">
          <cell r="J3666" t="str">
            <v/>
          </cell>
        </row>
        <row r="3667">
          <cell r="J3667" t="str">
            <v/>
          </cell>
        </row>
        <row r="3668">
          <cell r="J3668" t="str">
            <v/>
          </cell>
        </row>
        <row r="3669">
          <cell r="J3669" t="str">
            <v/>
          </cell>
        </row>
        <row r="3670">
          <cell r="J3670" t="str">
            <v/>
          </cell>
        </row>
        <row r="3671">
          <cell r="J3671" t="str">
            <v/>
          </cell>
        </row>
        <row r="3672">
          <cell r="J3672" t="str">
            <v/>
          </cell>
        </row>
        <row r="3673">
          <cell r="J3673" t="str">
            <v/>
          </cell>
        </row>
        <row r="3674">
          <cell r="J3674" t="str">
            <v/>
          </cell>
        </row>
        <row r="3675">
          <cell r="J3675" t="str">
            <v/>
          </cell>
        </row>
        <row r="3676">
          <cell r="J3676" t="str">
            <v/>
          </cell>
        </row>
        <row r="3677">
          <cell r="J3677" t="str">
            <v/>
          </cell>
        </row>
        <row r="3678">
          <cell r="J3678" t="str">
            <v/>
          </cell>
        </row>
        <row r="3679">
          <cell r="J3679" t="str">
            <v/>
          </cell>
        </row>
        <row r="3680">
          <cell r="J3680" t="str">
            <v/>
          </cell>
        </row>
        <row r="3681">
          <cell r="J3681" t="str">
            <v/>
          </cell>
        </row>
        <row r="3682">
          <cell r="J3682" t="str">
            <v/>
          </cell>
        </row>
        <row r="3683">
          <cell r="J3683" t="str">
            <v/>
          </cell>
        </row>
        <row r="3684">
          <cell r="J3684" t="str">
            <v/>
          </cell>
        </row>
        <row r="3685">
          <cell r="J3685" t="str">
            <v/>
          </cell>
        </row>
        <row r="3686">
          <cell r="J3686" t="str">
            <v/>
          </cell>
        </row>
        <row r="3687">
          <cell r="J3687" t="str">
            <v/>
          </cell>
        </row>
        <row r="3688">
          <cell r="J3688" t="str">
            <v/>
          </cell>
        </row>
        <row r="3689">
          <cell r="J3689" t="str">
            <v/>
          </cell>
        </row>
        <row r="3690">
          <cell r="J3690" t="str">
            <v/>
          </cell>
        </row>
        <row r="3691">
          <cell r="J3691" t="str">
            <v/>
          </cell>
        </row>
        <row r="3692">
          <cell r="J3692" t="str">
            <v/>
          </cell>
        </row>
        <row r="3693">
          <cell r="J3693" t="str">
            <v/>
          </cell>
        </row>
        <row r="3694">
          <cell r="J3694" t="str">
            <v/>
          </cell>
        </row>
        <row r="3695">
          <cell r="J3695" t="str">
            <v/>
          </cell>
        </row>
        <row r="3696">
          <cell r="J3696" t="str">
            <v/>
          </cell>
        </row>
        <row r="3697">
          <cell r="J3697" t="str">
            <v/>
          </cell>
        </row>
        <row r="3698">
          <cell r="J3698" t="str">
            <v/>
          </cell>
        </row>
        <row r="3699">
          <cell r="J3699" t="str">
            <v/>
          </cell>
        </row>
        <row r="3700">
          <cell r="J3700" t="str">
            <v/>
          </cell>
        </row>
        <row r="3701">
          <cell r="J3701" t="str">
            <v/>
          </cell>
        </row>
        <row r="3702">
          <cell r="J3702" t="str">
            <v/>
          </cell>
        </row>
        <row r="3703">
          <cell r="J3703" t="str">
            <v/>
          </cell>
        </row>
        <row r="3704">
          <cell r="J3704" t="str">
            <v/>
          </cell>
        </row>
        <row r="3705">
          <cell r="J3705" t="str">
            <v/>
          </cell>
        </row>
        <row r="3706">
          <cell r="J3706" t="str">
            <v/>
          </cell>
        </row>
        <row r="3707">
          <cell r="J3707" t="str">
            <v/>
          </cell>
        </row>
        <row r="3708">
          <cell r="J3708" t="str">
            <v/>
          </cell>
        </row>
        <row r="3709">
          <cell r="J3709" t="str">
            <v/>
          </cell>
        </row>
        <row r="3710">
          <cell r="J3710" t="str">
            <v/>
          </cell>
        </row>
        <row r="3711">
          <cell r="J3711" t="str">
            <v/>
          </cell>
        </row>
        <row r="3712">
          <cell r="J3712" t="str">
            <v/>
          </cell>
        </row>
        <row r="3713">
          <cell r="J3713" t="str">
            <v/>
          </cell>
        </row>
        <row r="3714">
          <cell r="J3714" t="str">
            <v/>
          </cell>
        </row>
        <row r="3715">
          <cell r="J3715" t="str">
            <v/>
          </cell>
        </row>
        <row r="3716">
          <cell r="J3716" t="str">
            <v/>
          </cell>
        </row>
        <row r="3717">
          <cell r="J3717" t="str">
            <v/>
          </cell>
        </row>
        <row r="3718">
          <cell r="J3718" t="str">
            <v/>
          </cell>
        </row>
        <row r="3719">
          <cell r="J3719" t="str">
            <v/>
          </cell>
        </row>
        <row r="3720">
          <cell r="J3720" t="str">
            <v/>
          </cell>
        </row>
        <row r="3721">
          <cell r="J3721" t="str">
            <v/>
          </cell>
        </row>
        <row r="3722">
          <cell r="J3722" t="str">
            <v/>
          </cell>
        </row>
        <row r="3723">
          <cell r="J3723" t="str">
            <v/>
          </cell>
        </row>
        <row r="3724">
          <cell r="J3724" t="str">
            <v/>
          </cell>
        </row>
        <row r="3725">
          <cell r="J3725" t="str">
            <v/>
          </cell>
        </row>
        <row r="3726">
          <cell r="J3726" t="str">
            <v/>
          </cell>
        </row>
        <row r="3727">
          <cell r="J3727" t="str">
            <v/>
          </cell>
        </row>
        <row r="3728">
          <cell r="J3728" t="str">
            <v/>
          </cell>
        </row>
        <row r="3729">
          <cell r="J3729" t="str">
            <v/>
          </cell>
        </row>
        <row r="3730">
          <cell r="J3730" t="str">
            <v/>
          </cell>
        </row>
        <row r="3731">
          <cell r="J3731" t="str">
            <v/>
          </cell>
        </row>
        <row r="3732">
          <cell r="J3732" t="str">
            <v/>
          </cell>
        </row>
        <row r="3733">
          <cell r="J3733" t="str">
            <v/>
          </cell>
        </row>
        <row r="3734">
          <cell r="J3734" t="str">
            <v/>
          </cell>
        </row>
        <row r="3735">
          <cell r="J3735" t="str">
            <v/>
          </cell>
        </row>
        <row r="3736">
          <cell r="J3736" t="str">
            <v/>
          </cell>
        </row>
        <row r="3737">
          <cell r="J3737" t="str">
            <v/>
          </cell>
        </row>
        <row r="3738">
          <cell r="J3738" t="str">
            <v/>
          </cell>
        </row>
        <row r="3739">
          <cell r="J3739" t="str">
            <v/>
          </cell>
        </row>
        <row r="3740">
          <cell r="J3740" t="str">
            <v/>
          </cell>
        </row>
        <row r="3741">
          <cell r="J3741" t="str">
            <v/>
          </cell>
        </row>
        <row r="3742">
          <cell r="J3742" t="str">
            <v/>
          </cell>
        </row>
        <row r="3743">
          <cell r="J3743" t="str">
            <v/>
          </cell>
        </row>
        <row r="3744">
          <cell r="J3744" t="str">
            <v/>
          </cell>
        </row>
        <row r="3745">
          <cell r="J3745" t="str">
            <v/>
          </cell>
        </row>
        <row r="3746">
          <cell r="J3746" t="str">
            <v/>
          </cell>
        </row>
        <row r="3747">
          <cell r="J3747" t="str">
            <v/>
          </cell>
        </row>
        <row r="3748">
          <cell r="J3748" t="str">
            <v/>
          </cell>
        </row>
        <row r="3749">
          <cell r="J3749" t="str">
            <v/>
          </cell>
        </row>
        <row r="3750">
          <cell r="J3750" t="str">
            <v/>
          </cell>
        </row>
        <row r="3751">
          <cell r="J3751" t="str">
            <v/>
          </cell>
        </row>
        <row r="3752">
          <cell r="J3752" t="str">
            <v/>
          </cell>
        </row>
        <row r="3753">
          <cell r="J3753" t="str">
            <v/>
          </cell>
        </row>
        <row r="3754">
          <cell r="J3754" t="str">
            <v/>
          </cell>
        </row>
        <row r="3755">
          <cell r="J3755" t="str">
            <v/>
          </cell>
        </row>
        <row r="3756">
          <cell r="J3756" t="str">
            <v/>
          </cell>
        </row>
        <row r="3757">
          <cell r="J3757" t="str">
            <v/>
          </cell>
        </row>
        <row r="3758">
          <cell r="J3758" t="str">
            <v/>
          </cell>
        </row>
        <row r="3759">
          <cell r="J3759" t="str">
            <v/>
          </cell>
        </row>
        <row r="3760">
          <cell r="J3760" t="str">
            <v/>
          </cell>
        </row>
        <row r="3761">
          <cell r="J3761" t="str">
            <v/>
          </cell>
        </row>
        <row r="3762">
          <cell r="J3762" t="str">
            <v/>
          </cell>
        </row>
        <row r="3763">
          <cell r="J3763" t="str">
            <v/>
          </cell>
        </row>
        <row r="3764">
          <cell r="J3764" t="str">
            <v/>
          </cell>
        </row>
        <row r="3765">
          <cell r="J3765" t="str">
            <v/>
          </cell>
        </row>
        <row r="3766">
          <cell r="J3766" t="str">
            <v/>
          </cell>
        </row>
        <row r="3767">
          <cell r="J3767" t="str">
            <v/>
          </cell>
        </row>
        <row r="3768">
          <cell r="J3768" t="str">
            <v/>
          </cell>
        </row>
        <row r="3769">
          <cell r="J3769" t="str">
            <v/>
          </cell>
        </row>
        <row r="3770">
          <cell r="J3770" t="str">
            <v/>
          </cell>
        </row>
        <row r="3771">
          <cell r="J3771" t="str">
            <v/>
          </cell>
        </row>
        <row r="3772">
          <cell r="J3772" t="str">
            <v/>
          </cell>
        </row>
        <row r="3773">
          <cell r="J3773" t="str">
            <v/>
          </cell>
        </row>
        <row r="3774">
          <cell r="J3774" t="str">
            <v/>
          </cell>
        </row>
        <row r="3775">
          <cell r="J3775" t="str">
            <v/>
          </cell>
        </row>
        <row r="3776">
          <cell r="J3776" t="str">
            <v/>
          </cell>
        </row>
        <row r="3777">
          <cell r="J3777" t="str">
            <v/>
          </cell>
        </row>
        <row r="3778">
          <cell r="J3778" t="str">
            <v/>
          </cell>
        </row>
        <row r="3779">
          <cell r="J3779" t="str">
            <v/>
          </cell>
        </row>
        <row r="3780">
          <cell r="J3780" t="str">
            <v/>
          </cell>
        </row>
        <row r="3781">
          <cell r="J3781" t="str">
            <v/>
          </cell>
        </row>
        <row r="3782">
          <cell r="J3782" t="str">
            <v/>
          </cell>
        </row>
        <row r="3783">
          <cell r="J3783" t="str">
            <v/>
          </cell>
        </row>
        <row r="3784">
          <cell r="J3784" t="str">
            <v/>
          </cell>
        </row>
        <row r="3785">
          <cell r="J3785" t="str">
            <v/>
          </cell>
        </row>
        <row r="3786">
          <cell r="J3786" t="str">
            <v/>
          </cell>
        </row>
        <row r="3787">
          <cell r="J3787" t="str">
            <v/>
          </cell>
        </row>
        <row r="3788">
          <cell r="J3788" t="str">
            <v/>
          </cell>
        </row>
        <row r="3789">
          <cell r="J3789" t="str">
            <v/>
          </cell>
        </row>
        <row r="3790">
          <cell r="J3790" t="str">
            <v/>
          </cell>
        </row>
        <row r="3791">
          <cell r="J3791" t="str">
            <v/>
          </cell>
        </row>
        <row r="3792">
          <cell r="J3792" t="str">
            <v/>
          </cell>
        </row>
        <row r="3793">
          <cell r="J3793" t="str">
            <v/>
          </cell>
        </row>
        <row r="3794">
          <cell r="J3794" t="str">
            <v/>
          </cell>
        </row>
        <row r="3795">
          <cell r="J3795" t="str">
            <v/>
          </cell>
        </row>
        <row r="3796">
          <cell r="J3796" t="str">
            <v/>
          </cell>
        </row>
        <row r="3797">
          <cell r="J3797" t="str">
            <v/>
          </cell>
        </row>
        <row r="3798">
          <cell r="J3798" t="str">
            <v/>
          </cell>
        </row>
        <row r="3799">
          <cell r="J3799" t="str">
            <v/>
          </cell>
        </row>
        <row r="3800">
          <cell r="J3800" t="str">
            <v/>
          </cell>
        </row>
        <row r="3801">
          <cell r="J3801" t="str">
            <v/>
          </cell>
        </row>
        <row r="3802">
          <cell r="J3802" t="str">
            <v/>
          </cell>
        </row>
        <row r="3803">
          <cell r="J3803" t="str">
            <v/>
          </cell>
        </row>
        <row r="3804">
          <cell r="J3804" t="str">
            <v/>
          </cell>
        </row>
        <row r="3805">
          <cell r="J3805" t="str">
            <v/>
          </cell>
        </row>
        <row r="3806">
          <cell r="J3806" t="str">
            <v/>
          </cell>
        </row>
        <row r="3807">
          <cell r="J3807" t="str">
            <v/>
          </cell>
        </row>
        <row r="3808">
          <cell r="J3808" t="str">
            <v/>
          </cell>
        </row>
        <row r="3809">
          <cell r="J3809" t="str">
            <v/>
          </cell>
        </row>
        <row r="3810">
          <cell r="J3810" t="str">
            <v/>
          </cell>
        </row>
        <row r="3811">
          <cell r="J3811" t="str">
            <v/>
          </cell>
        </row>
        <row r="3812">
          <cell r="J3812" t="str">
            <v/>
          </cell>
        </row>
        <row r="3813">
          <cell r="J3813" t="str">
            <v/>
          </cell>
        </row>
        <row r="3814">
          <cell r="J3814" t="str">
            <v/>
          </cell>
        </row>
        <row r="3815">
          <cell r="J3815" t="str">
            <v/>
          </cell>
        </row>
        <row r="3816">
          <cell r="J3816" t="str">
            <v/>
          </cell>
        </row>
        <row r="3817">
          <cell r="J3817" t="str">
            <v/>
          </cell>
        </row>
        <row r="3818">
          <cell r="J3818" t="str">
            <v>x</v>
          </cell>
        </row>
        <row r="3819">
          <cell r="J3819" t="str">
            <v>x</v>
          </cell>
        </row>
        <row r="3820">
          <cell r="J3820" t="str">
            <v>x</v>
          </cell>
        </row>
        <row r="3821">
          <cell r="J3821" t="str">
            <v>x</v>
          </cell>
        </row>
        <row r="3822">
          <cell r="J3822" t="str">
            <v>x</v>
          </cell>
        </row>
        <row r="3823">
          <cell r="J3823" t="str">
            <v>x</v>
          </cell>
        </row>
        <row r="3824">
          <cell r="J3824" t="str">
            <v>x</v>
          </cell>
        </row>
        <row r="3825">
          <cell r="J3825" t="str">
            <v>x</v>
          </cell>
        </row>
        <row r="3826">
          <cell r="J3826" t="str">
            <v>x</v>
          </cell>
        </row>
        <row r="3827">
          <cell r="J3827" t="str">
            <v/>
          </cell>
        </row>
        <row r="3828">
          <cell r="J3828" t="str">
            <v/>
          </cell>
        </row>
        <row r="3829">
          <cell r="J3829" t="str">
            <v>x</v>
          </cell>
        </row>
        <row r="3830">
          <cell r="J3830" t="str">
            <v/>
          </cell>
        </row>
        <row r="3831">
          <cell r="J3831" t="str">
            <v/>
          </cell>
        </row>
        <row r="3832">
          <cell r="J3832" t="str">
            <v/>
          </cell>
        </row>
        <row r="3833">
          <cell r="J3833" t="str">
            <v/>
          </cell>
        </row>
        <row r="3834">
          <cell r="J3834" t="str">
            <v/>
          </cell>
        </row>
        <row r="3835">
          <cell r="J3835" t="str">
            <v/>
          </cell>
        </row>
        <row r="3836">
          <cell r="J3836" t="str">
            <v/>
          </cell>
        </row>
        <row r="3837">
          <cell r="J3837" t="str">
            <v/>
          </cell>
        </row>
        <row r="3838">
          <cell r="J3838" t="str">
            <v/>
          </cell>
        </row>
        <row r="3839">
          <cell r="J3839" t="str">
            <v/>
          </cell>
        </row>
        <row r="3840">
          <cell r="J3840" t="str">
            <v/>
          </cell>
        </row>
        <row r="3841">
          <cell r="J3841" t="str">
            <v/>
          </cell>
        </row>
        <row r="3842">
          <cell r="J3842" t="str">
            <v/>
          </cell>
        </row>
        <row r="3843">
          <cell r="J3843" t="str">
            <v/>
          </cell>
        </row>
        <row r="3844">
          <cell r="J3844" t="str">
            <v/>
          </cell>
        </row>
        <row r="3845">
          <cell r="J3845" t="str">
            <v/>
          </cell>
        </row>
        <row r="3846">
          <cell r="J3846" t="str">
            <v/>
          </cell>
        </row>
        <row r="3847">
          <cell r="J3847" t="str">
            <v/>
          </cell>
        </row>
        <row r="3848">
          <cell r="J3848" t="str">
            <v/>
          </cell>
        </row>
        <row r="3849">
          <cell r="J3849" t="str">
            <v/>
          </cell>
        </row>
        <row r="3850">
          <cell r="J3850" t="str">
            <v/>
          </cell>
        </row>
        <row r="3851">
          <cell r="J3851" t="str">
            <v/>
          </cell>
        </row>
        <row r="3852">
          <cell r="J3852" t="str">
            <v/>
          </cell>
        </row>
        <row r="3853">
          <cell r="J3853" t="str">
            <v/>
          </cell>
        </row>
        <row r="3854">
          <cell r="J3854" t="str">
            <v/>
          </cell>
        </row>
        <row r="3855">
          <cell r="J3855" t="str">
            <v/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XT"/>
      <sheetName val="IN-NX"/>
      <sheetName val="TH"/>
      <sheetName val="SO CT"/>
      <sheetName val="THE KHO"/>
      <sheetName val="BANG KE NL"/>
      <sheetName val="BTGT"/>
      <sheetName val="THEGT"/>
    </sheetNames>
    <sheetDataSet>
      <sheetData sheetId="0">
        <row r="12">
          <cell r="M12" t="str">
            <v>NL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3"/>
  <sheetViews>
    <sheetView tabSelected="1" topLeftCell="A6" workbookViewId="0">
      <pane ySplit="4" topLeftCell="A16" activePane="bottomLeft" state="frozen"/>
      <selection activeCell="A6" sqref="A6"/>
      <selection pane="bottomLeft" activeCell="H30" sqref="H30"/>
    </sheetView>
  </sheetViews>
  <sheetFormatPr defaultColWidth="8" defaultRowHeight="12.75"/>
  <cols>
    <col min="1" max="1" width="5.7109375" style="538" customWidth="1"/>
    <col min="2" max="2" width="36.85546875" style="538" customWidth="1"/>
    <col min="3" max="4" width="11.28515625" style="157" customWidth="1"/>
    <col min="5" max="6" width="14.7109375" style="538" customWidth="1"/>
    <col min="7" max="8" width="13.85546875" style="538" customWidth="1"/>
    <col min="9" max="9" width="2.42578125" style="538" customWidth="1"/>
    <col min="10" max="10" width="11" style="538" customWidth="1"/>
    <col min="11" max="11" width="2.85546875" style="538" customWidth="1"/>
    <col min="12" max="12" width="11.85546875" style="538" customWidth="1"/>
    <col min="13" max="16384" width="8" style="538"/>
  </cols>
  <sheetData>
    <row r="1" spans="1:16">
      <c r="A1" s="537"/>
      <c r="B1" s="537"/>
    </row>
    <row r="2" spans="1:16">
      <c r="A2" s="537" t="str">
        <f>TH!A1</f>
        <v>Đơn vị: CÔNG TY TNHH MỘT THÀNH VIÊN KHỞI NGUYÊN AN</v>
      </c>
      <c r="B2" s="537"/>
    </row>
    <row r="3" spans="1:16">
      <c r="A3" s="538" t="str">
        <f>TH!A2</f>
        <v>Địa chỉ: Thửa đất số 144, tờ bản đồ số 12TĐH.1, tổ 1, khu phố Đông Tác, Phường Tân Đông Hiệp, Thị Xã Dĩ An, Tỉnh Bình Dương, Việt Nam</v>
      </c>
      <c r="B3" s="537"/>
    </row>
    <row r="5" spans="1:16" ht="36" customHeight="1">
      <c r="A5" s="539"/>
      <c r="B5" s="539"/>
      <c r="C5" s="540"/>
      <c r="D5" s="541" t="s">
        <v>288</v>
      </c>
      <c r="E5" s="539"/>
      <c r="F5" s="539"/>
      <c r="G5" s="539"/>
      <c r="H5" s="539"/>
    </row>
    <row r="6" spans="1:16" ht="15.75">
      <c r="A6" s="539"/>
      <c r="B6" s="539"/>
      <c r="C6" s="540"/>
      <c r="D6" s="559" t="s">
        <v>377</v>
      </c>
      <c r="E6" s="539"/>
      <c r="F6" s="539"/>
      <c r="G6" s="539"/>
      <c r="H6" s="539"/>
    </row>
    <row r="7" spans="1:16" ht="6.75" customHeight="1"/>
    <row r="8" spans="1:16" ht="21.75" customHeight="1">
      <c r="A8" s="741" t="s">
        <v>342</v>
      </c>
      <c r="B8" s="741" t="s">
        <v>286</v>
      </c>
      <c r="C8" s="737" t="s">
        <v>37</v>
      </c>
      <c r="D8" s="738"/>
      <c r="E8" s="737" t="s">
        <v>38</v>
      </c>
      <c r="F8" s="738"/>
      <c r="G8" s="737" t="s">
        <v>287</v>
      </c>
      <c r="H8" s="738"/>
    </row>
    <row r="9" spans="1:16" ht="21.75" customHeight="1">
      <c r="A9" s="742"/>
      <c r="B9" s="742"/>
      <c r="C9" s="536" t="s">
        <v>42</v>
      </c>
      <c r="D9" s="536" t="s">
        <v>43</v>
      </c>
      <c r="E9" s="536" t="s">
        <v>42</v>
      </c>
      <c r="F9" s="536" t="s">
        <v>43</v>
      </c>
      <c r="G9" s="536" t="s">
        <v>42</v>
      </c>
      <c r="H9" s="536" t="s">
        <v>43</v>
      </c>
    </row>
    <row r="10" spans="1:16" s="157" customFormat="1" ht="17.25" customHeight="1">
      <c r="A10" s="542" t="s">
        <v>47</v>
      </c>
      <c r="B10" s="543" t="s">
        <v>48</v>
      </c>
      <c r="C10" s="544"/>
      <c r="D10" s="544"/>
      <c r="E10" s="544">
        <f t="array" ref="E10">SUM(IF(A10=KHN,TH))</f>
        <v>2726555545</v>
      </c>
      <c r="F10" s="544">
        <f t="array" ref="F10">SUM(IF(A10=KHC,TH))</f>
        <v>258744075</v>
      </c>
      <c r="G10" s="545">
        <f>MAX(C10+E10-D10-F10,0)</f>
        <v>2467811470</v>
      </c>
      <c r="H10" s="545">
        <f>MAX(D10+F10-E10-C10,0)</f>
        <v>0</v>
      </c>
      <c r="J10" s="538"/>
      <c r="K10" s="538"/>
      <c r="L10" s="538"/>
      <c r="M10" s="538"/>
      <c r="N10" s="538"/>
      <c r="O10" s="538"/>
      <c r="P10" s="538"/>
    </row>
    <row r="11" spans="1:16" s="157" customFormat="1" ht="17.25" customHeight="1">
      <c r="A11" s="547" t="s">
        <v>16</v>
      </c>
      <c r="B11" s="547" t="s">
        <v>49</v>
      </c>
      <c r="C11" s="548">
        <f t="shared" ref="C11:H11" si="0">C10</f>
        <v>0</v>
      </c>
      <c r="D11" s="548">
        <f t="shared" si="0"/>
        <v>0</v>
      </c>
      <c r="E11" s="548">
        <f t="shared" si="0"/>
        <v>2726555545</v>
      </c>
      <c r="F11" s="548">
        <f t="shared" si="0"/>
        <v>258744075</v>
      </c>
      <c r="G11" s="548">
        <f t="shared" si="0"/>
        <v>2467811470</v>
      </c>
      <c r="H11" s="548">
        <f t="shared" si="0"/>
        <v>0</v>
      </c>
      <c r="J11" s="538"/>
      <c r="K11" s="538"/>
      <c r="L11" s="538"/>
      <c r="M11" s="538"/>
      <c r="N11" s="538"/>
      <c r="O11" s="538"/>
      <c r="P11" s="538"/>
    </row>
    <row r="12" spans="1:16" s="157" customFormat="1" ht="17.25" customHeight="1">
      <c r="A12" s="543" t="s">
        <v>24</v>
      </c>
      <c r="B12" s="543" t="s">
        <v>50</v>
      </c>
      <c r="C12" s="544"/>
      <c r="D12" s="544">
        <v>0</v>
      </c>
      <c r="E12" s="544">
        <f t="array" ref="E12">SUM(IF(A12=KHN,TH))</f>
        <v>95086769</v>
      </c>
      <c r="F12" s="544">
        <f t="array" ref="F12">SUM(IF(A12=KHC,TH))</f>
        <v>93977000</v>
      </c>
      <c r="G12" s="545">
        <f>MAX(C12+E12-D12-F12,0)</f>
        <v>1109769</v>
      </c>
      <c r="H12" s="545">
        <f>MAX(D12+F12-E12-C12,0)</f>
        <v>0</v>
      </c>
      <c r="K12" s="546"/>
      <c r="L12" s="546"/>
      <c r="M12" s="546"/>
    </row>
    <row r="13" spans="1:16" s="157" customFormat="1" ht="17.25" customHeight="1">
      <c r="A13" s="547" t="s">
        <v>51</v>
      </c>
      <c r="B13" s="547" t="s">
        <v>52</v>
      </c>
      <c r="C13" s="548">
        <f t="shared" ref="C13:H13" si="1">C12</f>
        <v>0</v>
      </c>
      <c r="D13" s="548">
        <f t="shared" si="1"/>
        <v>0</v>
      </c>
      <c r="E13" s="548">
        <f t="shared" si="1"/>
        <v>95086769</v>
      </c>
      <c r="F13" s="548">
        <f t="shared" si="1"/>
        <v>93977000</v>
      </c>
      <c r="G13" s="548">
        <f t="shared" si="1"/>
        <v>1109769</v>
      </c>
      <c r="H13" s="548">
        <f t="shared" si="1"/>
        <v>0</v>
      </c>
    </row>
    <row r="14" spans="1:16" s="157" customFormat="1" ht="17.25" customHeight="1">
      <c r="A14" s="547" t="s">
        <v>252</v>
      </c>
      <c r="B14" s="547" t="s">
        <v>260</v>
      </c>
      <c r="C14" s="548"/>
      <c r="D14" s="548"/>
      <c r="E14" s="549">
        <f t="array" ref="E14">SUM(IF(A14=KHN,TH))</f>
        <v>270040053</v>
      </c>
      <c r="F14" s="549">
        <f t="array" ref="F14">SUM(IF(A14=KHC,TH))</f>
        <v>226687953</v>
      </c>
      <c r="G14" s="548">
        <f>MAX(C14+E14-D14-F14,0)</f>
        <v>43352100</v>
      </c>
      <c r="H14" s="548">
        <f>MAX(D14+F14-E14-C14,0)</f>
        <v>0</v>
      </c>
    </row>
    <row r="15" spans="1:16" s="157" customFormat="1" ht="17.25" customHeight="1">
      <c r="A15" s="543" t="s">
        <v>9</v>
      </c>
      <c r="B15" s="543" t="s">
        <v>53</v>
      </c>
      <c r="C15" s="544"/>
      <c r="D15" s="544"/>
      <c r="E15" s="544">
        <f t="array" ref="E15">SUM(IF(A15=KHN,TH))</f>
        <v>24549095</v>
      </c>
      <c r="F15" s="544">
        <f t="array" ref="F15">SUM(IF(A15=KHC,TH))</f>
        <v>24549095</v>
      </c>
      <c r="G15" s="545">
        <f>MAX(C15+E15-D15-F15,0)</f>
        <v>0</v>
      </c>
      <c r="H15" s="545">
        <f>MAX(D15+F15-E15-C15,0)</f>
        <v>0</v>
      </c>
    </row>
    <row r="16" spans="1:16" s="157" customFormat="1" ht="17.25" customHeight="1">
      <c r="A16" s="547" t="s">
        <v>54</v>
      </c>
      <c r="B16" s="547" t="s">
        <v>55</v>
      </c>
      <c r="C16" s="548">
        <f t="shared" ref="C16:H16" si="2">C15</f>
        <v>0</v>
      </c>
      <c r="D16" s="548">
        <f t="shared" si="2"/>
        <v>0</v>
      </c>
      <c r="E16" s="548">
        <f t="shared" si="2"/>
        <v>24549095</v>
      </c>
      <c r="F16" s="548">
        <f t="shared" si="2"/>
        <v>24549095</v>
      </c>
      <c r="G16" s="548">
        <f t="shared" si="2"/>
        <v>0</v>
      </c>
      <c r="H16" s="548">
        <f t="shared" si="2"/>
        <v>0</v>
      </c>
    </row>
    <row r="17" spans="1:8" s="157" customFormat="1" ht="17.25" customHeight="1">
      <c r="A17" s="543" t="s">
        <v>56</v>
      </c>
      <c r="B17" s="543" t="s">
        <v>57</v>
      </c>
      <c r="C17" s="544"/>
      <c r="D17" s="544"/>
      <c r="E17" s="544">
        <f t="array" ref="E17">SUM(IF(A17=KHN,TH))</f>
        <v>0</v>
      </c>
      <c r="F17" s="544">
        <f t="array" ref="F17">SUM(IF(A17=KHC,TH))</f>
        <v>0</v>
      </c>
      <c r="G17" s="545">
        <f t="shared" ref="G17:G25" si="3">MAX(C17+E17-D17-F17,0)</f>
        <v>0</v>
      </c>
      <c r="H17" s="545">
        <f t="shared" ref="H17:H25" si="4">MAX(D17+F17-E17-C17,0)</f>
        <v>0</v>
      </c>
    </row>
    <row r="18" spans="1:8" s="157" customFormat="1" ht="17.25" customHeight="1">
      <c r="A18" s="547" t="s">
        <v>58</v>
      </c>
      <c r="B18" s="547" t="s">
        <v>59</v>
      </c>
      <c r="C18" s="548">
        <f>C17</f>
        <v>0</v>
      </c>
      <c r="D18" s="548">
        <f>D17</f>
        <v>0</v>
      </c>
      <c r="E18" s="548">
        <f>E17</f>
        <v>0</v>
      </c>
      <c r="F18" s="548">
        <f>F17</f>
        <v>0</v>
      </c>
      <c r="G18" s="548">
        <f t="shared" si="3"/>
        <v>0</v>
      </c>
      <c r="H18" s="548">
        <f t="shared" si="4"/>
        <v>0</v>
      </c>
    </row>
    <row r="19" spans="1:8" s="157" customFormat="1" ht="17.25" customHeight="1">
      <c r="A19" s="547" t="s">
        <v>160</v>
      </c>
      <c r="B19" s="547" t="s">
        <v>161</v>
      </c>
      <c r="C19" s="548"/>
      <c r="D19" s="548">
        <v>0</v>
      </c>
      <c r="E19" s="549">
        <f t="array" ref="E19">SUM(IF(A19=KHN,TH))</f>
        <v>193239406</v>
      </c>
      <c r="F19" s="549">
        <f t="array" ref="F19">SUM(IF(A19=KHC,TH))</f>
        <v>193239406</v>
      </c>
      <c r="G19" s="548">
        <f t="shared" si="3"/>
        <v>0</v>
      </c>
      <c r="H19" s="548">
        <f t="shared" si="4"/>
        <v>0</v>
      </c>
    </row>
    <row r="20" spans="1:8" s="157" customFormat="1" ht="17.25" customHeight="1">
      <c r="A20" s="550" t="s">
        <v>375</v>
      </c>
      <c r="B20" s="547" t="s">
        <v>376</v>
      </c>
      <c r="C20" s="548"/>
      <c r="D20" s="548"/>
      <c r="E20" s="549">
        <f t="array" ref="E20">SUM(IF(A20=KHN,TH))</f>
        <v>385996108</v>
      </c>
      <c r="F20" s="549">
        <f t="array" ref="F20">SUM(IF(A20=KHC,TH))</f>
        <v>377128312</v>
      </c>
      <c r="G20" s="548">
        <f t="shared" si="3"/>
        <v>8867796</v>
      </c>
      <c r="H20" s="548">
        <f t="shared" si="4"/>
        <v>0</v>
      </c>
    </row>
    <row r="21" spans="1:8" s="157" customFormat="1" ht="17.25" customHeight="1">
      <c r="A21" s="547" t="s">
        <v>8</v>
      </c>
      <c r="B21" s="547" t="s">
        <v>60</v>
      </c>
      <c r="C21" s="548"/>
      <c r="D21" s="548"/>
      <c r="E21" s="549">
        <f t="array" ref="E21">SUM(IF(A21=KHN,TH))</f>
        <v>212032372</v>
      </c>
      <c r="F21" s="549">
        <f t="array" ref="F21">SUM(IF(A21=KHC,TH))</f>
        <v>212032372</v>
      </c>
      <c r="G21" s="548">
        <f t="shared" si="3"/>
        <v>0</v>
      </c>
      <c r="H21" s="548">
        <f t="shared" si="4"/>
        <v>0</v>
      </c>
    </row>
    <row r="22" spans="1:8" s="157" customFormat="1" ht="17.25" customHeight="1">
      <c r="A22" s="551" t="s">
        <v>297</v>
      </c>
      <c r="B22" s="543" t="s">
        <v>296</v>
      </c>
      <c r="C22" s="544"/>
      <c r="D22" s="544"/>
      <c r="E22" s="544">
        <f t="array" ref="E22">SUM(IF(A22=KHN,TH))</f>
        <v>24549095</v>
      </c>
      <c r="F22" s="544">
        <f t="array" ref="F22">SUM(IF(A22=KHC,TH))</f>
        <v>24549095</v>
      </c>
      <c r="G22" s="544">
        <f t="shared" ref="G22" si="5">MAX(C22+E22-D22-F22,0)</f>
        <v>0</v>
      </c>
      <c r="H22" s="544">
        <f t="shared" ref="H22" si="6">MAX(D22+F22-E22-C22,0)</f>
        <v>0</v>
      </c>
    </row>
    <row r="23" spans="1:8" s="157" customFormat="1" ht="17.25" customHeight="1">
      <c r="A23" s="543" t="s">
        <v>61</v>
      </c>
      <c r="B23" s="543" t="s">
        <v>62</v>
      </c>
      <c r="C23" s="544"/>
      <c r="D23" s="544"/>
      <c r="E23" s="544">
        <f t="array" ref="E23">SUM(IF(A23=KHN,TH))</f>
        <v>0</v>
      </c>
      <c r="F23" s="544">
        <f t="array" ref="F23">SUM(IF(A23=KHC,TH))</f>
        <v>0</v>
      </c>
      <c r="G23" s="544">
        <f t="shared" si="3"/>
        <v>0</v>
      </c>
      <c r="H23" s="544">
        <f t="shared" si="4"/>
        <v>0</v>
      </c>
    </row>
    <row r="24" spans="1:8" s="157" customFormat="1" ht="17.25" customHeight="1">
      <c r="A24" s="543" t="s">
        <v>258</v>
      </c>
      <c r="B24" s="543" t="s">
        <v>259</v>
      </c>
      <c r="C24" s="544"/>
      <c r="D24" s="544"/>
      <c r="E24" s="544">
        <f t="array" ref="E24">SUM(IF(A24=KHN,TH))</f>
        <v>0</v>
      </c>
      <c r="F24" s="544">
        <f t="array" ref="F24">SUM(IF(A24=KHC,TH))</f>
        <v>0</v>
      </c>
      <c r="G24" s="544">
        <f t="shared" si="3"/>
        <v>0</v>
      </c>
      <c r="H24" s="544">
        <f t="shared" si="4"/>
        <v>0</v>
      </c>
    </row>
    <row r="25" spans="1:8" s="157" customFormat="1" ht="17.25" customHeight="1">
      <c r="A25" s="551" t="s">
        <v>63</v>
      </c>
      <c r="B25" s="552" t="s">
        <v>64</v>
      </c>
      <c r="C25" s="553"/>
      <c r="D25" s="553"/>
      <c r="E25" s="553">
        <f t="array" ref="E25">SUM(IF(A25=KHN,TH))</f>
        <v>750000</v>
      </c>
      <c r="F25" s="553">
        <f t="array" ref="F25">SUM(IF(A25=KHC,TH))</f>
        <v>750000</v>
      </c>
      <c r="G25" s="553">
        <f t="shared" si="3"/>
        <v>0</v>
      </c>
      <c r="H25" s="553">
        <f t="shared" si="4"/>
        <v>0</v>
      </c>
    </row>
    <row r="26" spans="1:8" s="157" customFormat="1" ht="17.25" customHeight="1">
      <c r="A26" s="543" t="s">
        <v>18</v>
      </c>
      <c r="B26" s="543" t="s">
        <v>65</v>
      </c>
      <c r="C26" s="544">
        <f>C25</f>
        <v>0</v>
      </c>
      <c r="D26" s="544">
        <f t="shared" ref="D26:H26" si="7">D25</f>
        <v>0</v>
      </c>
      <c r="E26" s="544">
        <f t="shared" si="7"/>
        <v>750000</v>
      </c>
      <c r="F26" s="544">
        <f t="shared" si="7"/>
        <v>750000</v>
      </c>
      <c r="G26" s="544">
        <f t="shared" si="7"/>
        <v>0</v>
      </c>
      <c r="H26" s="544">
        <f t="shared" si="7"/>
        <v>0</v>
      </c>
    </row>
    <row r="27" spans="1:8" s="157" customFormat="1" ht="17.25" customHeight="1">
      <c r="A27" s="547" t="s">
        <v>66</v>
      </c>
      <c r="B27" s="547" t="s">
        <v>67</v>
      </c>
      <c r="C27" s="548">
        <f>C23+C26+C24+C22</f>
        <v>0</v>
      </c>
      <c r="D27" s="548">
        <f t="shared" ref="D27:H27" si="8">D23+D26+D24+D22</f>
        <v>0</v>
      </c>
      <c r="E27" s="548">
        <f t="shared" si="8"/>
        <v>25299095</v>
      </c>
      <c r="F27" s="548">
        <f t="shared" si="8"/>
        <v>25299095</v>
      </c>
      <c r="G27" s="548">
        <f t="shared" si="8"/>
        <v>0</v>
      </c>
      <c r="H27" s="548">
        <f t="shared" si="8"/>
        <v>0</v>
      </c>
    </row>
    <row r="28" spans="1:8" s="157" customFormat="1" ht="17.25" customHeight="1">
      <c r="A28" s="543" t="s">
        <v>254</v>
      </c>
      <c r="B28" s="543" t="s">
        <v>255</v>
      </c>
      <c r="C28" s="544">
        <v>0</v>
      </c>
      <c r="D28" s="544">
        <v>0</v>
      </c>
      <c r="E28" s="544">
        <f t="array" ref="E28">SUM(IF(A28=KHN,TH))</f>
        <v>0</v>
      </c>
      <c r="F28" s="544">
        <f t="array" ref="F28">SUM(IF(A28=KHC,TH))</f>
        <v>0</v>
      </c>
      <c r="G28" s="544">
        <f t="shared" ref="G28:G30" si="9">MAX(C28+E28-D28-F28,0)</f>
        <v>0</v>
      </c>
      <c r="H28" s="544">
        <f t="shared" ref="H28:H30" si="10">MAX(D28+F28-E28-C28,0)</f>
        <v>0</v>
      </c>
    </row>
    <row r="29" spans="1:8" s="157" customFormat="1" ht="17.25" customHeight="1">
      <c r="A29" s="547" t="s">
        <v>256</v>
      </c>
      <c r="B29" s="547" t="s">
        <v>257</v>
      </c>
      <c r="C29" s="548">
        <f>C28</f>
        <v>0</v>
      </c>
      <c r="D29" s="548">
        <f>D28</f>
        <v>0</v>
      </c>
      <c r="E29" s="548">
        <f>E28</f>
        <v>0</v>
      </c>
      <c r="F29" s="548">
        <f>F28</f>
        <v>0</v>
      </c>
      <c r="G29" s="548">
        <f t="shared" si="9"/>
        <v>0</v>
      </c>
      <c r="H29" s="548">
        <f t="shared" si="10"/>
        <v>0</v>
      </c>
    </row>
    <row r="30" spans="1:8" s="157" customFormat="1" ht="17.25" customHeight="1">
      <c r="A30" s="543" t="s">
        <v>17</v>
      </c>
      <c r="B30" s="543" t="s">
        <v>68</v>
      </c>
      <c r="C30" s="544"/>
      <c r="D30" s="544"/>
      <c r="E30" s="544">
        <f t="array" ref="E30">SUM(IF(A30=KHN,TH))</f>
        <v>871742</v>
      </c>
      <c r="F30" s="544">
        <f t="array" ref="F30">SUM(IF(A30=KHC,TH))</f>
        <v>1908988</v>
      </c>
      <c r="G30" s="544">
        <f t="shared" si="9"/>
        <v>0</v>
      </c>
      <c r="H30" s="544">
        <f t="shared" si="10"/>
        <v>1037246</v>
      </c>
    </row>
    <row r="31" spans="1:8" s="157" customFormat="1" ht="17.25" customHeight="1">
      <c r="A31" s="547" t="s">
        <v>69</v>
      </c>
      <c r="B31" s="547" t="s">
        <v>70</v>
      </c>
      <c r="C31" s="548">
        <f t="shared" ref="C31:H31" si="11">SUM(C30:C30)</f>
        <v>0</v>
      </c>
      <c r="D31" s="548">
        <f t="shared" si="11"/>
        <v>0</v>
      </c>
      <c r="E31" s="548">
        <f t="shared" si="11"/>
        <v>871742</v>
      </c>
      <c r="F31" s="548">
        <f t="shared" si="11"/>
        <v>1908988</v>
      </c>
      <c r="G31" s="548">
        <f t="shared" si="11"/>
        <v>0</v>
      </c>
      <c r="H31" s="548">
        <f t="shared" si="11"/>
        <v>1037246</v>
      </c>
    </row>
    <row r="32" spans="1:8" s="157" customFormat="1" ht="17.25" customHeight="1">
      <c r="A32" s="543" t="s">
        <v>25</v>
      </c>
      <c r="B32" s="543" t="s">
        <v>71</v>
      </c>
      <c r="C32" s="544"/>
      <c r="D32" s="544"/>
      <c r="E32" s="544">
        <f t="array" ref="E32">SUM(IF(A32=KHN,TH))</f>
        <v>0</v>
      </c>
      <c r="F32" s="544">
        <f t="array" ref="F32">SUM(IF(A32=KHC,TH))</f>
        <v>2500000000</v>
      </c>
      <c r="G32" s="545">
        <f>MAX(C32+E32-D32-F32,0)</f>
        <v>0</v>
      </c>
      <c r="H32" s="545">
        <f>MAX(D32+F32-E32-C32,0)</f>
        <v>2500000000</v>
      </c>
    </row>
    <row r="33" spans="1:10" s="157" customFormat="1" ht="17.25" customHeight="1">
      <c r="A33" s="547" t="s">
        <v>72</v>
      </c>
      <c r="B33" s="547" t="s">
        <v>73</v>
      </c>
      <c r="C33" s="548">
        <v>0</v>
      </c>
      <c r="D33" s="548">
        <f>D32</f>
        <v>0</v>
      </c>
      <c r="E33" s="548">
        <f>E32</f>
        <v>0</v>
      </c>
      <c r="F33" s="548">
        <f>F32</f>
        <v>2500000000</v>
      </c>
      <c r="G33" s="548">
        <f>MAX(C33+E33-D33-F33,0)</f>
        <v>0</v>
      </c>
      <c r="H33" s="548">
        <f>MAX(D33+F33-E33-C33,0)</f>
        <v>2500000000</v>
      </c>
    </row>
    <row r="34" spans="1:10" s="157" customFormat="1" ht="17.25" customHeight="1">
      <c r="A34" s="542" t="s">
        <v>74</v>
      </c>
      <c r="B34" s="543" t="s">
        <v>75</v>
      </c>
      <c r="C34" s="544"/>
      <c r="D34" s="544"/>
      <c r="E34" s="544">
        <f t="array" ref="E34">SUM(IF(A34=KHN,TH))</f>
        <v>0</v>
      </c>
      <c r="F34" s="544">
        <f t="array" ref="F34">SUM(IF(A34=KHC,TH))</f>
        <v>0</v>
      </c>
      <c r="G34" s="545">
        <f>MAX(C34+E34-D34-F34,0)</f>
        <v>0</v>
      </c>
      <c r="H34" s="545">
        <f>MAX(D34+F34-E34-C34,0)</f>
        <v>0</v>
      </c>
    </row>
    <row r="35" spans="1:10" s="157" customFormat="1" ht="17.25" customHeight="1">
      <c r="A35" s="543" t="s">
        <v>76</v>
      </c>
      <c r="B35" s="543" t="s">
        <v>77</v>
      </c>
      <c r="C35" s="544"/>
      <c r="D35" s="544"/>
      <c r="E35" s="544">
        <f t="array" ref="E35">SUM(IF(A35=TH!$L$10:$L$325,TH!$K$10:$K$325))</f>
        <v>0</v>
      </c>
      <c r="F35" s="544">
        <f t="array" ref="F35">SUM(IF(A35=TH!$M$10:$M$325,TH!$K$10:$K$325))</f>
        <v>20101889</v>
      </c>
      <c r="G35" s="544">
        <f>MAX(C35+E35-D35-F35,0)</f>
        <v>0</v>
      </c>
      <c r="H35" s="544">
        <f>MAX(D35+F35-E35-C35,0)</f>
        <v>20101889</v>
      </c>
      <c r="J35" s="281"/>
    </row>
    <row r="36" spans="1:10" s="157" customFormat="1" ht="17.25" customHeight="1">
      <c r="A36" s="547" t="s">
        <v>78</v>
      </c>
      <c r="B36" s="547" t="s">
        <v>79</v>
      </c>
      <c r="C36" s="548">
        <f t="shared" ref="C36:H36" si="12">C35+C34</f>
        <v>0</v>
      </c>
      <c r="D36" s="548">
        <f t="shared" si="12"/>
        <v>0</v>
      </c>
      <c r="E36" s="548">
        <f t="shared" si="12"/>
        <v>0</v>
      </c>
      <c r="F36" s="548">
        <f t="shared" si="12"/>
        <v>20101889</v>
      </c>
      <c r="G36" s="548">
        <f t="shared" si="12"/>
        <v>0</v>
      </c>
      <c r="H36" s="548">
        <f t="shared" si="12"/>
        <v>20101889</v>
      </c>
    </row>
    <row r="37" spans="1:10" s="157" customFormat="1" ht="17.25" customHeight="1">
      <c r="A37" s="542" t="s">
        <v>367</v>
      </c>
      <c r="B37" s="543" t="s">
        <v>368</v>
      </c>
      <c r="C37" s="545"/>
      <c r="D37" s="545"/>
      <c r="E37" s="545">
        <f t="array" ref="E37">SUM(IF(A37=KHN,TH))</f>
        <v>0</v>
      </c>
      <c r="F37" s="545">
        <f t="array" ref="F37">SUM(IF(A37=KHC,TH))</f>
        <v>0</v>
      </c>
      <c r="G37" s="545"/>
      <c r="H37" s="545"/>
      <c r="I37" s="157">
        <f>E37-F37</f>
        <v>0</v>
      </c>
    </row>
    <row r="38" spans="1:10" s="157" customFormat="1" ht="17.25" customHeight="1">
      <c r="A38" s="542" t="s">
        <v>164</v>
      </c>
      <c r="B38" s="543" t="s">
        <v>369</v>
      </c>
      <c r="C38" s="544"/>
      <c r="D38" s="544"/>
      <c r="E38" s="544">
        <f t="array" ref="E38">SUM(IF(A38=KHN,TH))</f>
        <v>245490958</v>
      </c>
      <c r="F38" s="544">
        <f t="array" ref="F38">SUM(IF(A38=KHC,TH))</f>
        <v>245490958</v>
      </c>
      <c r="G38" s="544"/>
      <c r="H38" s="544"/>
      <c r="I38" s="157">
        <f>E38-F38</f>
        <v>0</v>
      </c>
    </row>
    <row r="39" spans="1:10" s="157" customFormat="1" ht="17.25" customHeight="1">
      <c r="A39" s="547" t="s">
        <v>165</v>
      </c>
      <c r="B39" s="547" t="s">
        <v>166</v>
      </c>
      <c r="C39" s="548">
        <f>C37+C38</f>
        <v>0</v>
      </c>
      <c r="D39" s="548">
        <f t="shared" ref="D39:H39" si="13">D37+D38</f>
        <v>0</v>
      </c>
      <c r="E39" s="548">
        <f t="shared" si="13"/>
        <v>245490958</v>
      </c>
      <c r="F39" s="548">
        <f t="shared" si="13"/>
        <v>245490958</v>
      </c>
      <c r="G39" s="548">
        <f t="shared" si="13"/>
        <v>0</v>
      </c>
      <c r="H39" s="548">
        <f t="shared" si="13"/>
        <v>0</v>
      </c>
      <c r="I39" s="157">
        <f>E39-F39</f>
        <v>0</v>
      </c>
    </row>
    <row r="40" spans="1:10" s="157" customFormat="1" ht="17.25" customHeight="1">
      <c r="A40" s="547" t="s">
        <v>40</v>
      </c>
      <c r="B40" s="547" t="s">
        <v>80</v>
      </c>
      <c r="C40" s="548"/>
      <c r="D40" s="548"/>
      <c r="E40" s="549">
        <f t="array" ref="E40">SUM(IF(A40=KHN,TH))</f>
        <v>54361</v>
      </c>
      <c r="F40" s="549">
        <f t="array" ref="F40">SUM(IF(A40=KHC,TH))</f>
        <v>54361</v>
      </c>
      <c r="G40" s="548"/>
      <c r="H40" s="548"/>
      <c r="I40" s="157">
        <f t="shared" ref="I40:I48" si="14">E40-F40</f>
        <v>0</v>
      </c>
    </row>
    <row r="41" spans="1:10" s="157" customFormat="1" ht="17.25" customHeight="1">
      <c r="A41" s="547" t="s">
        <v>162</v>
      </c>
      <c r="B41" s="547" t="s">
        <v>163</v>
      </c>
      <c r="C41" s="548"/>
      <c r="D41" s="548"/>
      <c r="E41" s="549">
        <f t="array" ref="E41">SUM(IF(A41=KHN,TH))</f>
        <v>193239406</v>
      </c>
      <c r="F41" s="549">
        <f t="array" ref="F41">SUM(IF(A41=KHC,TH))</f>
        <v>193239406</v>
      </c>
      <c r="G41" s="548"/>
      <c r="H41" s="548"/>
      <c r="I41" s="157">
        <f t="shared" si="14"/>
        <v>0</v>
      </c>
    </row>
    <row r="42" spans="1:10" s="157" customFormat="1" ht="17.25" customHeight="1">
      <c r="A42" s="547" t="s">
        <v>81</v>
      </c>
      <c r="B42" s="547" t="s">
        <v>82</v>
      </c>
      <c r="C42" s="548"/>
      <c r="D42" s="548"/>
      <c r="E42" s="549">
        <f t="array" ref="E42">SUM(IF(A42=KHN,TH))</f>
        <v>0</v>
      </c>
      <c r="F42" s="549">
        <f t="array" ref="F42">SUM(IF(A42=KHC,TH))</f>
        <v>0</v>
      </c>
      <c r="G42" s="548"/>
      <c r="H42" s="548"/>
      <c r="I42" s="157">
        <f t="shared" si="14"/>
        <v>0</v>
      </c>
    </row>
    <row r="43" spans="1:10" s="157" customFormat="1" ht="17.25" customHeight="1">
      <c r="A43" s="550" t="s">
        <v>253</v>
      </c>
      <c r="B43" s="547" t="s">
        <v>268</v>
      </c>
      <c r="C43" s="548"/>
      <c r="D43" s="548"/>
      <c r="E43" s="549">
        <f t="array" ref="E43">SUM(IF(A43=KHN,TH))</f>
        <v>0</v>
      </c>
      <c r="F43" s="549">
        <f t="array" ref="F43">SUM(IF(A43=KHC,TH))</f>
        <v>0</v>
      </c>
      <c r="G43" s="548"/>
      <c r="H43" s="548"/>
      <c r="I43" s="157">
        <f>E43-F43</f>
        <v>0</v>
      </c>
    </row>
    <row r="44" spans="1:10" s="157" customFormat="1" ht="17.25" customHeight="1">
      <c r="A44" s="547" t="s">
        <v>83</v>
      </c>
      <c r="B44" s="547" t="s">
        <v>84</v>
      </c>
      <c r="C44" s="548"/>
      <c r="D44" s="548"/>
      <c r="E44" s="549">
        <f t="array" ref="E44">SUM(IF(A44=KHN,TH))</f>
        <v>32202024</v>
      </c>
      <c r="F44" s="549">
        <f t="array" ref="F44">SUM(IF(A44=KHC,TH))</f>
        <v>32202024</v>
      </c>
      <c r="G44" s="548"/>
      <c r="H44" s="548"/>
      <c r="I44" s="157">
        <f t="shared" si="14"/>
        <v>0</v>
      </c>
    </row>
    <row r="45" spans="1:10" s="157" customFormat="1" ht="17.25" customHeight="1">
      <c r="A45" s="550" t="s">
        <v>85</v>
      </c>
      <c r="B45" s="547" t="s">
        <v>86</v>
      </c>
      <c r="C45" s="548"/>
      <c r="D45" s="548"/>
      <c r="E45" s="549">
        <f t="array" ref="E45">SUM(IF(A45=KHN,TH))</f>
        <v>0</v>
      </c>
      <c r="F45" s="549">
        <f t="array" ref="F45">SUM(IF(A45=KHC,TH))</f>
        <v>0</v>
      </c>
      <c r="G45" s="548"/>
      <c r="H45" s="548"/>
      <c r="I45" s="157">
        <f t="shared" si="14"/>
        <v>0</v>
      </c>
    </row>
    <row r="46" spans="1:10" s="157" customFormat="1" ht="17.25" customHeight="1">
      <c r="A46" s="547" t="s">
        <v>87</v>
      </c>
      <c r="B46" s="547" t="s">
        <v>88</v>
      </c>
      <c r="C46" s="548"/>
      <c r="D46" s="548"/>
      <c r="E46" s="549">
        <f t="array" ref="E46">SUM(IF(A46=KHN,TH))</f>
        <v>0</v>
      </c>
      <c r="F46" s="549">
        <f t="array" ref="F46">SUM(IF(A46=KHC,TH))</f>
        <v>0</v>
      </c>
      <c r="G46" s="548"/>
      <c r="H46" s="548"/>
      <c r="I46" s="157">
        <f t="shared" si="14"/>
        <v>0</v>
      </c>
    </row>
    <row r="47" spans="1:10" s="157" customFormat="1" ht="17.25" customHeight="1">
      <c r="A47" s="550" t="s">
        <v>89</v>
      </c>
      <c r="B47" s="547" t="s">
        <v>90</v>
      </c>
      <c r="C47" s="548"/>
      <c r="D47" s="548"/>
      <c r="E47" s="549">
        <f t="array" ref="E47">SUM(IF(A47=KHN,TH))</f>
        <v>0</v>
      </c>
      <c r="F47" s="549">
        <f t="array" ref="F47">SUM(IF(A47=KHC,TH))</f>
        <v>0</v>
      </c>
      <c r="G47" s="548"/>
      <c r="H47" s="548"/>
      <c r="I47" s="157">
        <f t="shared" si="14"/>
        <v>0</v>
      </c>
    </row>
    <row r="48" spans="1:10" s="157" customFormat="1" ht="17.25" customHeight="1">
      <c r="A48" s="547" t="s">
        <v>91</v>
      </c>
      <c r="B48" s="547" t="s">
        <v>92</v>
      </c>
      <c r="C48" s="548"/>
      <c r="D48" s="548"/>
      <c r="E48" s="554">
        <f t="array" ref="E48">SUM(IF(A48=KHN,TH))</f>
        <v>245543319</v>
      </c>
      <c r="F48" s="554">
        <f t="array" ref="F48">SUM(IF(A48=TH!$M$10:$M$325,TH!$K$10:$K$325))</f>
        <v>245545319</v>
      </c>
      <c r="G48" s="548"/>
      <c r="H48" s="548"/>
      <c r="I48" s="157">
        <f t="shared" si="14"/>
        <v>-2000</v>
      </c>
    </row>
    <row r="49" spans="1:8" s="157" customFormat="1" ht="17.25" customHeight="1">
      <c r="A49" s="739" t="s">
        <v>39</v>
      </c>
      <c r="B49" s="740"/>
      <c r="C49" s="555">
        <f>C11+C13+C14+C16+C18+C19+C20+C21+C27+C29+C31+C33+C36+C40+C39+C41+C42+C43+C44+C45+C46+C47+C48</f>
        <v>0</v>
      </c>
      <c r="D49" s="555">
        <f t="shared" ref="D49:H49" si="15">D11+D13+D14+D16+D18+D19+D20+D21+D27+D29+D31+D33+D36+D40+D39+D41+D42+D43+D44+D45+D46+D47+D48</f>
        <v>0</v>
      </c>
      <c r="E49" s="555">
        <f t="shared" si="15"/>
        <v>4650200253</v>
      </c>
      <c r="F49" s="555">
        <f t="shared" si="15"/>
        <v>4650200253</v>
      </c>
      <c r="G49" s="555">
        <f t="shared" si="15"/>
        <v>2521141135</v>
      </c>
      <c r="H49" s="555">
        <f t="shared" si="15"/>
        <v>2521139135</v>
      </c>
    </row>
    <row r="50" spans="1:8">
      <c r="E50" s="556"/>
      <c r="F50" s="557"/>
    </row>
    <row r="51" spans="1:8">
      <c r="E51" s="557"/>
      <c r="F51" s="557">
        <f>E49-F49</f>
        <v>0</v>
      </c>
      <c r="H51" s="557">
        <f>G49-H49</f>
        <v>2000</v>
      </c>
    </row>
    <row r="52" spans="1:8">
      <c r="E52" s="558"/>
      <c r="F52" s="558"/>
    </row>
    <row r="53" spans="1:8">
      <c r="E53" s="558"/>
      <c r="F53" s="558"/>
    </row>
  </sheetData>
  <mergeCells count="6">
    <mergeCell ref="G8:H8"/>
    <mergeCell ref="A49:B49"/>
    <mergeCell ref="A8:A9"/>
    <mergeCell ref="B8:B9"/>
    <mergeCell ref="C8:D8"/>
    <mergeCell ref="E8:F8"/>
  </mergeCells>
  <printOptions horizontalCentered="1"/>
  <pageMargins left="0.6" right="0.2" top="0.2" bottom="0.2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 tint="-0.249977111117893"/>
  </sheetPr>
  <dimension ref="A1:AD327"/>
  <sheetViews>
    <sheetView topLeftCell="B7" zoomScaleNormal="100" workbookViewId="0">
      <pane ySplit="3" topLeftCell="A134" activePane="bottomLeft" state="frozen"/>
      <selection activeCell="A7" sqref="A7"/>
      <selection pane="bottomLeft" activeCell="K198" sqref="K198:K227"/>
    </sheetView>
  </sheetViews>
  <sheetFormatPr defaultRowHeight="12.75"/>
  <cols>
    <col min="1" max="1" width="4.5703125" hidden="1" customWidth="1"/>
    <col min="2" max="2" width="4.85546875" customWidth="1"/>
    <col min="3" max="3" width="9.140625" customWidth="1"/>
    <col min="4" max="4" width="6.85546875" customWidth="1"/>
    <col min="5" max="5" width="9.140625" customWidth="1"/>
    <col min="6" max="6" width="45" customWidth="1"/>
    <col min="7" max="7" width="11.140625" customWidth="1"/>
    <col min="8" max="8" width="34.85546875" customWidth="1"/>
    <col min="9" max="9" width="7.85546875" customWidth="1"/>
    <col min="10" max="10" width="8.85546875" customWidth="1"/>
    <col min="11" max="11" width="13.140625" customWidth="1"/>
    <col min="12" max="13" width="7" customWidth="1"/>
    <col min="14" max="14" width="4.42578125" hidden="1" customWidth="1"/>
    <col min="15" max="17" width="2.7109375" hidden="1" customWidth="1"/>
    <col min="18" max="20" width="2.5703125" hidden="1" customWidth="1"/>
    <col min="21" max="21" width="3.140625" hidden="1" customWidth="1"/>
    <col min="22" max="22" width="4.42578125" hidden="1" customWidth="1"/>
    <col min="23" max="25" width="2.7109375" hidden="1" customWidth="1"/>
    <col min="26" max="26" width="2.85546875" hidden="1" customWidth="1"/>
    <col min="27" max="27" width="2.85546875" customWidth="1"/>
    <col min="28" max="28" width="3.5703125" customWidth="1"/>
  </cols>
  <sheetData>
    <row r="1" spans="1:27" s="199" customFormat="1" ht="15">
      <c r="A1" s="1" t="s">
        <v>361</v>
      </c>
      <c r="B1" s="31"/>
      <c r="C1" s="31"/>
      <c r="D1" s="32"/>
      <c r="E1" s="32"/>
      <c r="F1" s="33"/>
      <c r="G1" s="729"/>
      <c r="H1" s="53"/>
      <c r="I1" s="53"/>
      <c r="J1" s="53"/>
      <c r="K1" s="40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spans="1:27" s="199" customFormat="1" ht="15">
      <c r="A2" s="1" t="s">
        <v>360</v>
      </c>
      <c r="B2" s="31"/>
      <c r="C2" s="31"/>
      <c r="D2" s="32"/>
      <c r="E2" s="32"/>
      <c r="F2" s="32"/>
      <c r="G2" s="729"/>
      <c r="H2" s="54"/>
      <c r="I2" s="54"/>
      <c r="J2" s="54"/>
      <c r="K2" s="40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1:27" s="199" customFormat="1">
      <c r="A3" s="194"/>
      <c r="B3" s="32"/>
      <c r="C3" s="32"/>
      <c r="D3" s="32"/>
      <c r="E3" s="32"/>
      <c r="F3" s="32"/>
      <c r="G3" s="729"/>
      <c r="H3" s="54"/>
      <c r="I3" s="54"/>
      <c r="J3" s="54"/>
      <c r="K3" s="39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7" s="199" customFormat="1" ht="22.5">
      <c r="A4" s="194"/>
      <c r="B4" s="40"/>
      <c r="C4" s="744" t="s">
        <v>93</v>
      </c>
      <c r="D4" s="744"/>
      <c r="E4" s="744"/>
      <c r="F4" s="744"/>
      <c r="G4" s="744"/>
      <c r="H4" s="744"/>
      <c r="I4" s="744"/>
      <c r="J4" s="744"/>
      <c r="K4" s="744"/>
      <c r="L4" s="744"/>
      <c r="M4" s="744"/>
    </row>
    <row r="5" spans="1:27" s="199" customFormat="1" ht="14.25">
      <c r="A5" s="194"/>
      <c r="B5" s="40"/>
      <c r="C5" s="745"/>
      <c r="D5" s="745"/>
      <c r="E5" s="745"/>
      <c r="F5" s="745"/>
      <c r="G5" s="745"/>
      <c r="H5" s="745"/>
      <c r="I5" s="745"/>
      <c r="J5" s="745"/>
      <c r="K5" s="745"/>
      <c r="L5" s="745"/>
      <c r="M5" s="745"/>
    </row>
    <row r="6" spans="1:27" s="199" customFormat="1">
      <c r="A6" s="194"/>
      <c r="B6" s="40"/>
      <c r="C6" s="40"/>
      <c r="D6" s="40"/>
      <c r="E6" s="40"/>
      <c r="F6" s="40"/>
      <c r="G6" s="40"/>
      <c r="H6" s="41"/>
      <c r="I6" s="41"/>
      <c r="J6" s="41"/>
      <c r="K6" s="40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 spans="1:27" s="199" customFormat="1" ht="24.75" customHeight="1">
      <c r="A7" s="760" t="s">
        <v>117</v>
      </c>
      <c r="B7" s="752" t="s">
        <v>101</v>
      </c>
      <c r="C7" s="746" t="s">
        <v>20</v>
      </c>
      <c r="D7" s="748" t="s">
        <v>1</v>
      </c>
      <c r="E7" s="749"/>
      <c r="F7" s="746" t="s">
        <v>0</v>
      </c>
      <c r="G7" s="752" t="s">
        <v>116</v>
      </c>
      <c r="H7" s="762" t="s">
        <v>44</v>
      </c>
      <c r="I7" s="768" t="s">
        <v>251</v>
      </c>
      <c r="J7" s="769"/>
      <c r="K7" s="746" t="s">
        <v>157</v>
      </c>
      <c r="L7" s="750" t="s">
        <v>94</v>
      </c>
      <c r="M7" s="751"/>
      <c r="N7" s="766" t="s">
        <v>327</v>
      </c>
      <c r="O7" s="754" t="s">
        <v>47</v>
      </c>
      <c r="P7" s="755"/>
      <c r="Q7" s="756"/>
      <c r="R7" s="754" t="s">
        <v>51</v>
      </c>
      <c r="S7" s="755"/>
      <c r="T7" s="756"/>
      <c r="U7" s="766" t="s">
        <v>326</v>
      </c>
      <c r="V7" s="764" t="str">
        <f>CTTK!$E$7</f>
        <v>1331</v>
      </c>
      <c r="W7" s="743" t="s">
        <v>159</v>
      </c>
      <c r="X7" s="743"/>
      <c r="Y7" s="743"/>
      <c r="Z7" s="743" t="s">
        <v>285</v>
      </c>
      <c r="AA7" s="692"/>
    </row>
    <row r="8" spans="1:27" s="199" customFormat="1" ht="24.75" customHeight="1">
      <c r="A8" s="761"/>
      <c r="B8" s="753"/>
      <c r="C8" s="747"/>
      <c r="D8" s="727" t="s">
        <v>15</v>
      </c>
      <c r="E8" s="726" t="s">
        <v>32</v>
      </c>
      <c r="F8" s="747"/>
      <c r="G8" s="753"/>
      <c r="H8" s="763"/>
      <c r="I8" s="725" t="s">
        <v>191</v>
      </c>
      <c r="J8" s="725" t="s">
        <v>192</v>
      </c>
      <c r="K8" s="747"/>
      <c r="L8" s="728" t="s">
        <v>22</v>
      </c>
      <c r="M8" s="728" t="s">
        <v>23</v>
      </c>
      <c r="N8" s="767"/>
      <c r="O8" s="757"/>
      <c r="P8" s="758"/>
      <c r="Q8" s="759"/>
      <c r="R8" s="757"/>
      <c r="S8" s="758"/>
      <c r="T8" s="759"/>
      <c r="U8" s="767"/>
      <c r="V8" s="765"/>
      <c r="W8" s="743"/>
      <c r="X8" s="743"/>
      <c r="Y8" s="743"/>
      <c r="Z8" s="743"/>
      <c r="AA8" s="692"/>
    </row>
    <row r="9" spans="1:27" s="199" customFormat="1">
      <c r="A9" s="195">
        <v>1</v>
      </c>
      <c r="B9" s="196">
        <v>2</v>
      </c>
      <c r="C9" s="195">
        <v>3</v>
      </c>
      <c r="D9" s="196">
        <v>4</v>
      </c>
      <c r="E9" s="195">
        <v>5</v>
      </c>
      <c r="F9" s="196">
        <v>6</v>
      </c>
      <c r="G9" s="195">
        <v>7</v>
      </c>
      <c r="H9" s="196">
        <v>8</v>
      </c>
      <c r="I9" s="195">
        <v>9</v>
      </c>
      <c r="J9" s="196">
        <v>10</v>
      </c>
      <c r="K9" s="195">
        <v>11</v>
      </c>
      <c r="L9" s="196">
        <v>12</v>
      </c>
      <c r="M9" s="195">
        <v>13</v>
      </c>
      <c r="N9" s="196">
        <v>16</v>
      </c>
      <c r="O9" s="197">
        <v>17</v>
      </c>
      <c r="P9" s="196">
        <v>18</v>
      </c>
      <c r="Q9" s="197">
        <v>19</v>
      </c>
      <c r="R9" s="196">
        <v>20</v>
      </c>
      <c r="S9" s="196"/>
      <c r="T9" s="196"/>
      <c r="U9" s="196">
        <v>26</v>
      </c>
      <c r="V9" s="197">
        <v>27</v>
      </c>
      <c r="W9" s="196">
        <v>19</v>
      </c>
      <c r="X9" s="196">
        <v>20</v>
      </c>
      <c r="Y9" s="196"/>
      <c r="Z9" s="196">
        <v>21</v>
      </c>
      <c r="AA9" s="693"/>
    </row>
    <row r="10" spans="1:27" s="594" customFormat="1" ht="15.75" hidden="1" customHeight="1">
      <c r="A10" s="724" t="str">
        <f>IF(B10&lt;&gt;"",IF(AND(B10&gt;=_TM1,B10&lt;=_TM2,OR(TH!L10="1111",TH!M10="1111")),TH!D10,""),"")</f>
        <v/>
      </c>
      <c r="B10" s="593">
        <f t="shared" ref="B10:B25" si="0">IF(C10&lt;&gt;"",MONTH(C10),"")</f>
        <v>12</v>
      </c>
      <c r="C10" s="45">
        <f t="shared" ref="C10:C22" si="1">E10</f>
        <v>41274</v>
      </c>
      <c r="D10" s="45" t="s">
        <v>95</v>
      </c>
      <c r="E10" s="45">
        <v>41274</v>
      </c>
      <c r="F10" s="46" t="s">
        <v>150</v>
      </c>
      <c r="G10" s="730"/>
      <c r="H10" s="47"/>
      <c r="I10" s="245"/>
      <c r="J10" s="245"/>
      <c r="K10" s="48">
        <f>CDPS!D35</f>
        <v>0</v>
      </c>
      <c r="L10" s="49" t="s">
        <v>76</v>
      </c>
      <c r="M10" s="49" t="s">
        <v>74</v>
      </c>
      <c r="N10" s="49" t="str">
        <f>IF(AND('331-CT'!$E$7=TH!H10,OR(L10="331",M10="331")),"331",IF(AND(OR(L10="131",M10="131"),H10='131-CT'!$E$7),"131",""))</f>
        <v/>
      </c>
      <c r="O10" s="49" t="str">
        <f>IF(AND($B10&gt;='111'!$N$11,$B10&lt;='111'!$O$11,OR($L10=$O$7,$M10=$O$7)),"x","")</f>
        <v/>
      </c>
      <c r="P10" s="49" t="str">
        <f>IF(AND($L10=$O$7,$B10&lt;'111'!$N$11),"x","")</f>
        <v/>
      </c>
      <c r="Q10" s="49" t="str">
        <f>IF(AND($M10=$O$7,$B10&lt;'111'!$N$11),"x","")</f>
        <v/>
      </c>
      <c r="R10" s="49" t="str">
        <f>IF(ISERROR(FIND('112'!$M$9,G10,1)),"",IF((AND(FIND('112'!$M$9,G10,1)&gt;=1,$B10&gt;='112'!$N$8,$B10&lt;='112'!$O$8,OR($L10='112'!$I$6,$M10='112'!$I$6))),"x",""))</f>
        <v/>
      </c>
      <c r="S10" s="49" t="str">
        <f>IF(ISERROR(FIND('112'!$M$9,G10,1)),"",IF((AND(LEFT(G10,2)=LEFT('112'!$M$9,2),B10&lt;'112'!$N$8,$L10='112'!$I$6)),"x",""))</f>
        <v/>
      </c>
      <c r="T10" s="49" t="str">
        <f>IF(ISERROR(FIND('112'!$M$9,G10,1)),"",IF((AND(RIGHT(G10,2)=RIGHT('112'!$M$9,2),B10&lt;'112'!$N$8,$M10='112'!$I$6)),"x",""))</f>
        <v/>
      </c>
      <c r="U10" s="49" t="str">
        <f>IF(AND(L10="154",'154'!$O$5&lt;=B10,'154'!$P$5&gt;=B10),"154",IF(AND(L10="632",'632'!$L$5&lt;=B10,'632'!$M$5&gt;=B10),"632",IF(AND(L10="642",'642'!$N$5&lt;=B10,'642'!$O$5&gt;=B10),"642",IF(AND(L10="641",'641'!$N$5&lt;=B10,'641'!$O$5&gt;=B10),"641",""))))</f>
        <v/>
      </c>
      <c r="V10" s="49" t="str">
        <f>IF(OR(TH!L10=TH!$V$7,M10=TH!$V$7),"x","")</f>
        <v/>
      </c>
      <c r="W10" s="49" t="str">
        <f>IF(AND(B10&gt;='IN-NX'!$P$3,B10&lt;='IN-NX'!$Q$3,'IN-NX'!$D$7=D10,OR(LEFT(L10,2)="15",AND(LEFT(M10,2)&lt;&gt;"15",LEFT(M10,2)&lt;&gt;"33"))),"x","")</f>
        <v/>
      </c>
      <c r="X10" s="49" t="str">
        <f>IF(AND(OR(LEFT(TH!L10,2)="15",LEFT(TH!M10,2)="15"),'152-CT'!$J$8=TH!F10),"x","")</f>
        <v/>
      </c>
      <c r="Y10" s="49" t="str">
        <f>IF(AND(OR(LEFT(TH!L10,2)="15",LEFT(TH!M10,2)="15"),TK!$E$7=TH!F10),"x","")</f>
        <v/>
      </c>
      <c r="Z10" s="49" t="str">
        <f>IF(AND(B10&lt;=NKC!$N$8,B10&gt;=NKC!$M$8),"x","")</f>
        <v/>
      </c>
      <c r="AA10" s="694"/>
    </row>
    <row r="11" spans="1:27" s="594" customFormat="1" ht="15.75" hidden="1" customHeight="1">
      <c r="A11" s="724" t="str">
        <f>IF(B11&lt;&gt;"",IF(AND(B11&gt;=_TM1,B11&lt;=_TM2,OR(TH!L11="1111",TH!M11="1111")),TH!D11,""),"")</f>
        <v/>
      </c>
      <c r="B11" s="593">
        <f t="shared" si="0"/>
        <v>12</v>
      </c>
      <c r="C11" s="45">
        <f t="shared" si="1"/>
        <v>41274</v>
      </c>
      <c r="D11" s="45" t="s">
        <v>95</v>
      </c>
      <c r="E11" s="45">
        <v>41274</v>
      </c>
      <c r="F11" s="46" t="s">
        <v>264</v>
      </c>
      <c r="G11" s="730"/>
      <c r="H11" s="47"/>
      <c r="I11" s="245"/>
      <c r="J11" s="245"/>
      <c r="K11" s="48">
        <f>SUMIF(KHC,L11,TH)</f>
        <v>24549095</v>
      </c>
      <c r="L11" s="50" t="s">
        <v>297</v>
      </c>
      <c r="M11" s="49" t="s">
        <v>9</v>
      </c>
      <c r="N11" s="49" t="str">
        <f>IF(AND('331-CT'!$E$7=TH!H11,OR(L11="331",M11="331")),"331",IF(AND(OR(L11="131",M11="131"),H11='131-CT'!$E$7),"131",""))</f>
        <v/>
      </c>
      <c r="O11" s="49" t="str">
        <f>IF(AND($B11&gt;='111'!$N$11,$B11&lt;='111'!$O$11,OR($L11=$O$7,$M11=$O$7)),"x","")</f>
        <v/>
      </c>
      <c r="P11" s="49" t="str">
        <f>IF(AND($L11=$O$7,$B11&lt;'111'!$N$11),"x","")</f>
        <v/>
      </c>
      <c r="Q11" s="49" t="str">
        <f>IF(AND($M11=$O$7,$B11&lt;'111'!$N$11),"x","")</f>
        <v/>
      </c>
      <c r="R11" s="49" t="str">
        <f>IF(ISERROR(FIND('112'!$M$9,G11,1)),"",IF((AND(FIND('112'!$M$9,G11,1)&gt;=1,$B11&gt;='112'!$N$8,$B11&lt;='112'!$O$8,OR($L11='112'!$I$6,$M11='112'!$I$6))),"x",""))</f>
        <v/>
      </c>
      <c r="S11" s="49" t="str">
        <f>IF(ISERROR(FIND('112'!$M$9,G11,1)),"",IF((AND(LEFT(G11,2)=LEFT('112'!$M$9,2),B11&lt;'112'!$N$8,$L11='112'!$I$6)),"x",""))</f>
        <v/>
      </c>
      <c r="T11" s="49" t="str">
        <f>IF(ISERROR(FIND('112'!$M$9,G11,1)),"",IF((AND(RIGHT(G11,2)=RIGHT('112'!$M$9,2),B11&lt;'112'!$N$8,$M11='112'!$I$6)),"x",""))</f>
        <v/>
      </c>
      <c r="U11" s="49" t="str">
        <f>IF(AND(L11="154",'154'!$O$5&lt;=B11,'154'!$P$5&gt;=B11),"154",IF(AND(L11="632",'632'!$L$5&lt;=B11,'632'!$M$5&gt;=B11),"632",IF(AND(L11="642",'642'!$N$5&lt;=B11,'642'!$O$5&gt;=B11),"642",IF(AND(L11="641",'641'!$N$5&lt;=B11,'641'!$O$5&gt;=B11),"641",""))))</f>
        <v/>
      </c>
      <c r="V11" s="49" t="str">
        <f>IF(OR(TH!L11=TH!$V$7,M11=TH!$V$7),"x","")</f>
        <v>x</v>
      </c>
      <c r="W11" s="49" t="str">
        <f>IF(AND(B11&gt;='IN-NX'!$P$3,B11&lt;='IN-NX'!$Q$3,'IN-NX'!$D$7=D11,OR(LEFT(L11,2)="15",AND(LEFT(M11,2)&lt;&gt;"15",LEFT(M11,2)&lt;&gt;"33"))),"x","")</f>
        <v/>
      </c>
      <c r="X11" s="49" t="str">
        <f>IF(AND(OR(LEFT(TH!L11,2)="15",LEFT(TH!M11,2)="15"),'152-CT'!$J$8=TH!F11),"x","")</f>
        <v/>
      </c>
      <c r="Y11" s="49" t="str">
        <f>IF(AND(OR(LEFT(TH!L11,2)="15",LEFT(TH!M11,2)="15"),TK!$E$7=TH!F11),"x","")</f>
        <v/>
      </c>
      <c r="Z11" s="49" t="str">
        <f>IF(AND(B11&lt;=NKC!$N$8,B11&gt;=NKC!$M$8),"x","")</f>
        <v/>
      </c>
      <c r="AA11" s="694"/>
    </row>
    <row r="12" spans="1:27" s="594" customFormat="1" ht="15.75" hidden="1" customHeight="1">
      <c r="A12" s="724" t="str">
        <f>IF(B12&lt;&gt;"",IF(AND(B12&gt;=_TM1,B12&lt;=_TM2,OR(TH!L12="1111",TH!M12="1111")),TH!D12,""),"")</f>
        <v/>
      </c>
      <c r="B12" s="593">
        <f t="shared" si="0"/>
        <v>12</v>
      </c>
      <c r="C12" s="45">
        <f t="shared" si="1"/>
        <v>41274</v>
      </c>
      <c r="D12" s="45" t="s">
        <v>95</v>
      </c>
      <c r="E12" s="45">
        <v>41274</v>
      </c>
      <c r="F12" s="46" t="s">
        <v>265</v>
      </c>
      <c r="G12" s="730"/>
      <c r="H12" s="47"/>
      <c r="I12" s="245"/>
      <c r="J12" s="245"/>
      <c r="K12" s="48">
        <f>SUMIF(KHN,M12,TH)</f>
        <v>193239406</v>
      </c>
      <c r="L12" s="50" t="s">
        <v>91</v>
      </c>
      <c r="M12" s="49" t="s">
        <v>162</v>
      </c>
      <c r="N12" s="49" t="str">
        <f>IF(AND('331-CT'!$E$7=TH!H12,OR(L12="331",M12="331")),"331",IF(AND(OR(L12="131",M12="131"),H12='131-CT'!$E$7),"131",""))</f>
        <v/>
      </c>
      <c r="O12" s="49" t="str">
        <f>IF(AND($B12&gt;='111'!$N$11,$B12&lt;='111'!$O$11,OR($L12=$O$7,$M12=$O$7)),"x","")</f>
        <v/>
      </c>
      <c r="P12" s="49" t="str">
        <f>IF(AND($L12=$O$7,$B12&lt;'111'!$N$11),"x","")</f>
        <v/>
      </c>
      <c r="Q12" s="49" t="str">
        <f>IF(AND($M12=$O$7,$B12&lt;'111'!$N$11),"x","")</f>
        <v/>
      </c>
      <c r="R12" s="49" t="str">
        <f>IF(ISERROR(FIND('112'!$M$9,G12,1)),"",IF((AND(FIND('112'!$M$9,G12,1)&gt;=1,$B12&gt;='112'!$N$8,$B12&lt;='112'!$O$8,OR($L12='112'!$I$6,$M12='112'!$I$6))),"x",""))</f>
        <v/>
      </c>
      <c r="S12" s="49" t="str">
        <f>IF(ISERROR(FIND('112'!$M$9,G12,1)),"",IF((AND(LEFT(G12,2)=LEFT('112'!$M$9,2),B12&lt;'112'!$N$8,$L12='112'!$I$6)),"x",""))</f>
        <v/>
      </c>
      <c r="T12" s="49" t="str">
        <f>IF(ISERROR(FIND('112'!$M$9,G12,1)),"",IF((AND(RIGHT(G12,2)=RIGHT('112'!$M$9,2),B12&lt;'112'!$N$8,$M12='112'!$I$6)),"x",""))</f>
        <v/>
      </c>
      <c r="U12" s="49" t="str">
        <f>IF(AND(L12="154",'154'!$O$5&lt;=B12,'154'!$P$5&gt;=B12),"154",IF(AND(L12="632",'632'!$L$5&lt;=B12,'632'!$M$5&gt;=B12),"632",IF(AND(L12="642",'642'!$N$5&lt;=B12,'642'!$O$5&gt;=B12),"642",IF(AND(L12="641",'641'!$N$5&lt;=B12,'641'!$O$5&gt;=B12),"641",""))))</f>
        <v/>
      </c>
      <c r="V12" s="49" t="str">
        <f>IF(OR(TH!L12=TH!$V$7,M12=TH!$V$7),"x","")</f>
        <v/>
      </c>
      <c r="W12" s="49" t="str">
        <f>IF(AND(B12&gt;='IN-NX'!$P$3,B12&lt;='IN-NX'!$Q$3,'IN-NX'!$D$7=D12,OR(LEFT(L12,2)="15",AND(LEFT(M12,2)&lt;&gt;"15",LEFT(M12,2)&lt;&gt;"33"))),"x","")</f>
        <v/>
      </c>
      <c r="X12" s="49" t="str">
        <f>IF(AND(OR(LEFT(TH!L12,2)="15",LEFT(TH!M12,2)="15"),'152-CT'!$J$8=TH!F12),"x","")</f>
        <v/>
      </c>
      <c r="Y12" s="49" t="str">
        <f>IF(AND(OR(LEFT(TH!L12,2)="15",LEFT(TH!M12,2)="15"),TK!$E$7=TH!F12),"x","")</f>
        <v/>
      </c>
      <c r="Z12" s="49" t="str">
        <f>IF(AND(B12&lt;=NKC!$N$8,B12&gt;=NKC!$M$8),"x","")</f>
        <v/>
      </c>
      <c r="AA12" s="694"/>
    </row>
    <row r="13" spans="1:27" s="594" customFormat="1" ht="15.75" hidden="1" customHeight="1">
      <c r="A13" s="724" t="str">
        <f>IF(B13&lt;&gt;"",IF(AND(B13&gt;=_TM1,B13&lt;=_TM2,OR(TH!L13="1111",TH!M13="1111")),TH!D13,""),"")</f>
        <v/>
      </c>
      <c r="B13" s="593">
        <f t="shared" si="0"/>
        <v>12</v>
      </c>
      <c r="C13" s="45">
        <f t="shared" si="1"/>
        <v>41274</v>
      </c>
      <c r="D13" s="45" t="s">
        <v>95</v>
      </c>
      <c r="E13" s="45">
        <v>41274</v>
      </c>
      <c r="F13" s="46" t="s">
        <v>96</v>
      </c>
      <c r="G13" s="730"/>
      <c r="H13" s="51"/>
      <c r="I13" s="246"/>
      <c r="J13" s="246"/>
      <c r="K13" s="48">
        <f>SUMIF(KHN,M13,TH)</f>
        <v>0</v>
      </c>
      <c r="L13" s="49" t="s">
        <v>91</v>
      </c>
      <c r="M13" s="49" t="s">
        <v>81</v>
      </c>
      <c r="N13" s="49" t="str">
        <f>IF(AND('331-CT'!$E$7=TH!H13,OR(L13="331",M13="331")),"331",IF(AND(OR(L13="131",M13="131"),H13='131-CT'!$E$7),"131",""))</f>
        <v/>
      </c>
      <c r="O13" s="49" t="str">
        <f>IF(AND($B13&gt;='111'!$N$11,$B13&lt;='111'!$O$11,OR($L13=$O$7,$M13=$O$7)),"x","")</f>
        <v/>
      </c>
      <c r="P13" s="49" t="str">
        <f>IF(AND($L13=$O$7,$B13&lt;'111'!$N$11),"x","")</f>
        <v/>
      </c>
      <c r="Q13" s="49" t="str">
        <f>IF(AND($M13=$O$7,$B13&lt;'111'!$N$11),"x","")</f>
        <v/>
      </c>
      <c r="R13" s="49" t="str">
        <f>IF(ISERROR(FIND('112'!$M$9,G13,1)),"",IF((AND(FIND('112'!$M$9,G13,1)&gt;=1,$B13&gt;='112'!$N$8,$B13&lt;='112'!$O$8,OR($L13='112'!$I$6,$M13='112'!$I$6))),"x",""))</f>
        <v/>
      </c>
      <c r="S13" s="49" t="str">
        <f>IF(ISERROR(FIND('112'!$M$9,G13,1)),"",IF((AND(LEFT(G13,2)=LEFT('112'!$M$9,2),B13&lt;'112'!$N$8,$L13='112'!$I$6)),"x",""))</f>
        <v/>
      </c>
      <c r="T13" s="49" t="str">
        <f>IF(ISERROR(FIND('112'!$M$9,G13,1)),"",IF((AND(RIGHT(G13,2)=RIGHT('112'!$M$9,2),B13&lt;'112'!$N$8,$M13='112'!$I$6)),"x",""))</f>
        <v/>
      </c>
      <c r="U13" s="49" t="str">
        <f>IF(AND(L13="154",'154'!$O$5&lt;=B13,'154'!$P$5&gt;=B13),"154",IF(AND(L13="632",'632'!$L$5&lt;=B13,'632'!$M$5&gt;=B13),"632",IF(AND(L13="642",'642'!$N$5&lt;=B13,'642'!$O$5&gt;=B13),"642",IF(AND(L13="641",'641'!$N$5&lt;=B13,'641'!$O$5&gt;=B13),"641",""))))</f>
        <v/>
      </c>
      <c r="V13" s="49" t="str">
        <f>IF(OR(TH!L13=TH!$V$7,M13=TH!$V$7),"x","")</f>
        <v/>
      </c>
      <c r="W13" s="49" t="str">
        <f>IF(AND(B13&gt;='IN-NX'!$P$3,B13&lt;='IN-NX'!$Q$3,'IN-NX'!$D$7=D13,OR(LEFT(L13,2)="15",AND(LEFT(M13,2)&lt;&gt;"15",LEFT(M13,2)&lt;&gt;"33"))),"x","")</f>
        <v/>
      </c>
      <c r="X13" s="49" t="str">
        <f>IF(AND(OR(LEFT(TH!L13,2)="15",LEFT(TH!M13,2)="15"),'152-CT'!$J$8=TH!F13),"x","")</f>
        <v/>
      </c>
      <c r="Y13" s="49" t="str">
        <f>IF(AND(OR(LEFT(TH!L13,2)="15",LEFT(TH!M13,2)="15"),TK!$E$7=TH!F13),"x","")</f>
        <v/>
      </c>
      <c r="Z13" s="49" t="str">
        <f>IF(AND(B13&lt;=NKC!$N$8,B13&gt;=NKC!$M$8),"x","")</f>
        <v/>
      </c>
      <c r="AA13" s="694"/>
    </row>
    <row r="14" spans="1:27" s="594" customFormat="1" ht="15.75" hidden="1" customHeight="1">
      <c r="A14" s="724" t="str">
        <f>IF(B14&lt;&gt;"",IF(AND(B14&gt;=_TM1,B14&lt;=_TM2,OR(TH!L14="1111",TH!M14="1111")),TH!D14,""),"")</f>
        <v/>
      </c>
      <c r="B14" s="593">
        <f>IF(C14&lt;&gt;"",MONTH(C14),"")</f>
        <v>12</v>
      </c>
      <c r="C14" s="45">
        <f t="shared" ref="C14" si="2">E14</f>
        <v>41274</v>
      </c>
      <c r="D14" s="45" t="s">
        <v>95</v>
      </c>
      <c r="E14" s="45">
        <v>41274</v>
      </c>
      <c r="F14" s="46" t="s">
        <v>341</v>
      </c>
      <c r="G14" s="730"/>
      <c r="H14" s="47"/>
      <c r="I14" s="245"/>
      <c r="J14" s="245"/>
      <c r="K14" s="48">
        <f>SUMIF(KHN,M14,TH)</f>
        <v>0</v>
      </c>
      <c r="L14" s="49" t="s">
        <v>91</v>
      </c>
      <c r="M14" s="49" t="s">
        <v>89</v>
      </c>
      <c r="N14" s="49" t="str">
        <f>IF(AND('331-CT'!$E$7=TH!H14,OR(L14="331",M14="331")),"331",IF(AND(OR(L14="131",M14="131"),H14='131-CT'!$E$7),"131",""))</f>
        <v/>
      </c>
      <c r="O14" s="49" t="str">
        <f>IF(AND($B14&gt;='111'!$N$11,$B14&lt;='111'!$O$11,OR($L14=$O$7,$M14=$O$7)),"x","")</f>
        <v/>
      </c>
      <c r="P14" s="49" t="str">
        <f>IF(AND($L14=$O$7,$B14&lt;'111'!$N$11),"x","")</f>
        <v/>
      </c>
      <c r="Q14" s="49" t="str">
        <f>IF(AND($M14=$O$7,$B14&lt;'111'!$N$11),"x","")</f>
        <v/>
      </c>
      <c r="R14" s="49" t="str">
        <f>IF(ISERROR(FIND('112'!$M$9,G14,1)),"",IF((AND(FIND('112'!$M$9,G14,1)&gt;=1,$B14&gt;='112'!$N$8,$B14&lt;='112'!$O$8,OR($L14='112'!$I$6,$M14='112'!$I$6))),"x",""))</f>
        <v/>
      </c>
      <c r="S14" s="49" t="str">
        <f>IF(ISERROR(FIND('112'!$M$9,G14,1)),"",IF((AND(LEFT(G14,2)=LEFT('112'!$M$9,2),B14&lt;'112'!$N$8,$L14='112'!$I$6)),"x",""))</f>
        <v/>
      </c>
      <c r="T14" s="49" t="str">
        <f>IF(ISERROR(FIND('112'!$M$9,G14,1)),"",IF((AND(RIGHT(G14,2)=RIGHT('112'!$M$9,2),B14&lt;'112'!$N$8,$M14='112'!$I$6)),"x",""))</f>
        <v/>
      </c>
      <c r="U14" s="49" t="str">
        <f>IF(AND(L14="154",'154'!$O$5&lt;=B14,'154'!$P$5&gt;=B14),"154",IF(AND(L14="632",'632'!$L$5&lt;=B14,'632'!$M$5&gt;=B14),"632",IF(AND(L14="642",'642'!$N$5&lt;=B14,'642'!$O$5&gt;=B14),"642",IF(AND(L14="641",'641'!$N$5&lt;=B14,'641'!$O$5&gt;=B14),"641",""))))</f>
        <v/>
      </c>
      <c r="V14" s="49" t="str">
        <f>IF(OR(TH!L14=TH!$V$7,M14=TH!$V$7),"x","")</f>
        <v/>
      </c>
      <c r="W14" s="49" t="str">
        <f>IF(AND(B14&gt;='IN-NX'!$P$3,B14&lt;='IN-NX'!$Q$3,'IN-NX'!$D$7=D14,OR(LEFT(L14,2)="15",AND(LEFT(M14,2)&lt;&gt;"15",LEFT(M14,2)&lt;&gt;"33"))),"x","")</f>
        <v/>
      </c>
      <c r="X14" s="49" t="str">
        <f>IF(AND(OR(LEFT(TH!L14,2)="15",LEFT(TH!M14,2)="15"),'152-CT'!$J$8=TH!F14),"x","")</f>
        <v/>
      </c>
      <c r="Y14" s="49" t="str">
        <f>IF(AND(OR(LEFT(TH!L14,2)="15",LEFT(TH!M14,2)="15"),TK!$E$7=TH!F14),"x","")</f>
        <v/>
      </c>
      <c r="Z14" s="49" t="str">
        <f>IF(AND(B14&lt;=NKC!$N$8,B14&gt;=NKC!$M$8),"x","")</f>
        <v/>
      </c>
      <c r="AA14" s="694"/>
    </row>
    <row r="15" spans="1:27" s="594" customFormat="1" ht="15.75" hidden="1" customHeight="1">
      <c r="A15" s="724" t="str">
        <f>IF(B15&lt;&gt;"",IF(AND(B15&gt;=_TM1,B15&lt;=_TM2,OR(TH!L15="1111",TH!M15="1111")),TH!D15,""),"")</f>
        <v/>
      </c>
      <c r="B15" s="593">
        <f t="shared" si="0"/>
        <v>12</v>
      </c>
      <c r="C15" s="45">
        <f t="shared" si="1"/>
        <v>41274</v>
      </c>
      <c r="D15" s="45" t="s">
        <v>95</v>
      </c>
      <c r="E15" s="45">
        <v>41274</v>
      </c>
      <c r="F15" s="46" t="s">
        <v>266</v>
      </c>
      <c r="G15" s="730"/>
      <c r="H15" s="47"/>
      <c r="I15" s="245"/>
      <c r="J15" s="245"/>
      <c r="K15" s="48">
        <f>SUMIF(KHN,M15,TH)</f>
        <v>0</v>
      </c>
      <c r="L15" s="49" t="s">
        <v>91</v>
      </c>
      <c r="M15" s="49" t="s">
        <v>253</v>
      </c>
      <c r="N15" s="49" t="str">
        <f>IF(AND('331-CT'!$E$7=TH!H15,OR(L15="331",M15="331")),"331",IF(AND(OR(L15="131",M15="131"),H15='131-CT'!$E$7),"131",""))</f>
        <v/>
      </c>
      <c r="O15" s="49" t="str">
        <f>IF(AND($B15&gt;='111'!$N$11,$B15&lt;='111'!$O$11,OR($L15=$O$7,$M15=$O$7)),"x","")</f>
        <v/>
      </c>
      <c r="P15" s="49" t="str">
        <f>IF(AND($L15=$O$7,$B15&lt;'111'!$N$11),"x","")</f>
        <v/>
      </c>
      <c r="Q15" s="49" t="str">
        <f>IF(AND($M15=$O$7,$B15&lt;'111'!$N$11),"x","")</f>
        <v/>
      </c>
      <c r="R15" s="49" t="str">
        <f>IF(ISERROR(FIND('112'!$M$9,G15,1)),"",IF((AND(FIND('112'!$M$9,G15,1)&gt;=1,$B15&gt;='112'!$N$8,$B15&lt;='112'!$O$8,OR($L15='112'!$I$6,$M15='112'!$I$6))),"x",""))</f>
        <v/>
      </c>
      <c r="S15" s="49" t="str">
        <f>IF(ISERROR(FIND('112'!$M$9,G15,1)),"",IF((AND(LEFT(G15,2)=LEFT('112'!$M$9,2),B15&lt;'112'!$N$8,$L15='112'!$I$6)),"x",""))</f>
        <v/>
      </c>
      <c r="T15" s="49" t="str">
        <f>IF(ISERROR(FIND('112'!$M$9,G15,1)),"",IF((AND(RIGHT(G15,2)=RIGHT('112'!$M$9,2),B15&lt;'112'!$N$8,$M15='112'!$I$6)),"x",""))</f>
        <v/>
      </c>
      <c r="U15" s="49" t="str">
        <f>IF(AND(L15="154",'154'!$O$5&lt;=B15,'154'!$P$5&gt;=B15),"154",IF(AND(L15="632",'632'!$L$5&lt;=B15,'632'!$M$5&gt;=B15),"632",IF(AND(L15="642",'642'!$N$5&lt;=B15,'642'!$O$5&gt;=B15),"642",IF(AND(L15="641",'641'!$N$5&lt;=B15,'641'!$O$5&gt;=B15),"641",""))))</f>
        <v/>
      </c>
      <c r="V15" s="49" t="str">
        <f>IF(OR(TH!L15=TH!$V$7,M15=TH!$V$7),"x","")</f>
        <v/>
      </c>
      <c r="W15" s="49" t="str">
        <f>IF(AND(B15&gt;='IN-NX'!$P$3,B15&lt;='IN-NX'!$Q$3,'IN-NX'!$D$7=D15,OR(LEFT(L15,2)="15",AND(LEFT(M15,2)&lt;&gt;"15",LEFT(M15,2)&lt;&gt;"33"))),"x","")</f>
        <v/>
      </c>
      <c r="X15" s="49" t="str">
        <f>IF(AND(OR(LEFT(TH!L15,2)="15",LEFT(TH!M15,2)="15"),'152-CT'!$J$8=TH!F15),"x","")</f>
        <v/>
      </c>
      <c r="Y15" s="49" t="str">
        <f>IF(AND(OR(LEFT(TH!L15,2)="15",LEFT(TH!M15,2)="15"),TK!$E$7=TH!F15),"x","")</f>
        <v/>
      </c>
      <c r="Z15" s="49" t="str">
        <f>IF(AND(B15&lt;=NKC!$N$8,B15&gt;=NKC!$M$8),"x","")</f>
        <v/>
      </c>
      <c r="AA15" s="694"/>
    </row>
    <row r="16" spans="1:27" s="594" customFormat="1" ht="15.75" hidden="1" customHeight="1">
      <c r="A16" s="724" t="str">
        <f>IF(B16&lt;&gt;"",IF(AND(B16&gt;=_TM1,B16&lt;=_TM2,OR(TH!L16="1111",TH!M16="1111")),TH!D16,""),"")</f>
        <v/>
      </c>
      <c r="B16" s="593">
        <f t="shared" si="0"/>
        <v>12</v>
      </c>
      <c r="C16" s="45">
        <f t="shared" si="1"/>
        <v>41274</v>
      </c>
      <c r="D16" s="45" t="s">
        <v>95</v>
      </c>
      <c r="E16" s="45">
        <v>41274</v>
      </c>
      <c r="F16" s="46" t="s">
        <v>97</v>
      </c>
      <c r="G16" s="730"/>
      <c r="H16" s="47"/>
      <c r="I16" s="245"/>
      <c r="J16" s="245"/>
      <c r="K16" s="48">
        <f>SUMIF(KHN,M16,TH)</f>
        <v>32202024</v>
      </c>
      <c r="L16" s="49" t="s">
        <v>91</v>
      </c>
      <c r="M16" s="49" t="s">
        <v>83</v>
      </c>
      <c r="N16" s="49" t="str">
        <f>IF(AND('331-CT'!$E$7=TH!H16,OR(L16="331",M16="331")),"331",IF(AND(OR(L16="131",M16="131"),H16='131-CT'!$E$7),"131",""))</f>
        <v/>
      </c>
      <c r="O16" s="49" t="str">
        <f>IF(AND($B16&gt;='111'!$N$11,$B16&lt;='111'!$O$11,OR($L16=$O$7,$M16=$O$7)),"x","")</f>
        <v/>
      </c>
      <c r="P16" s="49" t="str">
        <f>IF(AND($L16=$O$7,$B16&lt;'111'!$N$11),"x","")</f>
        <v/>
      </c>
      <c r="Q16" s="49" t="str">
        <f>IF(AND($M16=$O$7,$B16&lt;'111'!$N$11),"x","")</f>
        <v/>
      </c>
      <c r="R16" s="49" t="str">
        <f>IF(ISERROR(FIND('112'!$M$9,G16,1)),"",IF((AND(FIND('112'!$M$9,G16,1)&gt;=1,$B16&gt;='112'!$N$8,$B16&lt;='112'!$O$8,OR($L16='112'!$I$6,$M16='112'!$I$6))),"x",""))</f>
        <v/>
      </c>
      <c r="S16" s="49" t="str">
        <f>IF(ISERROR(FIND('112'!$M$9,G16,1)),"",IF((AND(LEFT(G16,2)=LEFT('112'!$M$9,2),B16&lt;'112'!$N$8,$L16='112'!$I$6)),"x",""))</f>
        <v/>
      </c>
      <c r="T16" s="49" t="str">
        <f>IF(ISERROR(FIND('112'!$M$9,G16,1)),"",IF((AND(RIGHT(G16,2)=RIGHT('112'!$M$9,2),B16&lt;'112'!$N$8,$M16='112'!$I$6)),"x",""))</f>
        <v/>
      </c>
      <c r="U16" s="49" t="str">
        <f>IF(AND(L16="154",'154'!$O$5&lt;=B16,'154'!$P$5&gt;=B16),"154",IF(AND(L16="632",'632'!$L$5&lt;=B16,'632'!$M$5&gt;=B16),"632",IF(AND(L16="642",'642'!$N$5&lt;=B16,'642'!$O$5&gt;=B16),"642",IF(AND(L16="641",'641'!$N$5&lt;=B16,'641'!$O$5&gt;=B16),"641",""))))</f>
        <v/>
      </c>
      <c r="V16" s="49" t="str">
        <f>IF(OR(TH!L16=TH!$V$7,M16=TH!$V$7),"x","")</f>
        <v/>
      </c>
      <c r="W16" s="49" t="str">
        <f>IF(AND(B16&gt;='IN-NX'!$P$3,B16&lt;='IN-NX'!$Q$3,'IN-NX'!$D$7=D16,OR(LEFT(L16,2)="15",AND(LEFT(M16,2)&lt;&gt;"15",LEFT(M16,2)&lt;&gt;"33"))),"x","")</f>
        <v/>
      </c>
      <c r="X16" s="49" t="str">
        <f>IF(AND(OR(LEFT(TH!L16,2)="15",LEFT(TH!M16,2)="15"),'152-CT'!$J$8=TH!F16),"x","")</f>
        <v/>
      </c>
      <c r="Y16" s="49" t="str">
        <f>IF(AND(OR(LEFT(TH!L16,2)="15",LEFT(TH!M16,2)="15"),TK!$E$7=TH!F16),"x","")</f>
        <v/>
      </c>
      <c r="Z16" s="49" t="str">
        <f>IF(AND(B16&lt;=NKC!$N$8,B16&gt;=NKC!$M$8),"x","")</f>
        <v/>
      </c>
      <c r="AA16" s="694"/>
    </row>
    <row r="17" spans="1:30" s="594" customFormat="1" ht="15.75" hidden="1" customHeight="1">
      <c r="A17" s="724" t="str">
        <f>IF(B17&lt;&gt;"",IF(AND(B17&gt;=_TM1,B17&lt;=_TM2,OR(TH!L17="1111",TH!M17="1111")),TH!D17,""),"")</f>
        <v/>
      </c>
      <c r="B17" s="593">
        <f t="shared" si="0"/>
        <v>12</v>
      </c>
      <c r="C17" s="45">
        <f t="shared" si="1"/>
        <v>41274</v>
      </c>
      <c r="D17" s="45" t="s">
        <v>95</v>
      </c>
      <c r="E17" s="45">
        <v>41274</v>
      </c>
      <c r="F17" s="46" t="s">
        <v>98</v>
      </c>
      <c r="G17" s="730"/>
      <c r="H17" s="47"/>
      <c r="I17" s="245"/>
      <c r="J17" s="245"/>
      <c r="K17" s="48">
        <f>SUMIF(KHC,L17,TH)</f>
        <v>54361</v>
      </c>
      <c r="L17" s="50" t="s">
        <v>40</v>
      </c>
      <c r="M17" s="49" t="s">
        <v>91</v>
      </c>
      <c r="N17" s="49" t="str">
        <f>IF(AND('331-CT'!$E$7=TH!H17,OR(L17="331",M17="331")),"331",IF(AND(OR(L17="131",M17="131"),H17='131-CT'!$E$7),"131",""))</f>
        <v/>
      </c>
      <c r="O17" s="49" t="str">
        <f>IF(AND($B17&gt;='111'!$N$11,$B17&lt;='111'!$O$11,OR($L17=$O$7,$M17=$O$7)),"x","")</f>
        <v/>
      </c>
      <c r="P17" s="49" t="str">
        <f>IF(AND($L17=$O$7,$B17&lt;'111'!$N$11),"x","")</f>
        <v/>
      </c>
      <c r="Q17" s="49" t="str">
        <f>IF(AND($M17=$O$7,$B17&lt;'111'!$N$11),"x","")</f>
        <v/>
      </c>
      <c r="R17" s="49" t="str">
        <f>IF(ISERROR(FIND('112'!$M$9,G17,1)),"",IF((AND(FIND('112'!$M$9,G17,1)&gt;=1,$B17&gt;='112'!$N$8,$B17&lt;='112'!$O$8,OR($L17='112'!$I$6,$M17='112'!$I$6))),"x",""))</f>
        <v/>
      </c>
      <c r="S17" s="49" t="str">
        <f>IF(ISERROR(FIND('112'!$M$9,G17,1)),"",IF((AND(LEFT(G17,2)=LEFT('112'!$M$9,2),B17&lt;'112'!$N$8,$L17='112'!$I$6)),"x",""))</f>
        <v/>
      </c>
      <c r="T17" s="49" t="str">
        <f>IF(ISERROR(FIND('112'!$M$9,G17,1)),"",IF((AND(RIGHT(G17,2)=RIGHT('112'!$M$9,2),B17&lt;'112'!$N$8,$M17='112'!$I$6)),"x",""))</f>
        <v/>
      </c>
      <c r="U17" s="49" t="str">
        <f>IF(AND(L17="154",'154'!$O$5&lt;=B17,'154'!$P$5&gt;=B17),"154",IF(AND(L17="632",'632'!$L$5&lt;=B17,'632'!$M$5&gt;=B17),"632",IF(AND(L17="642",'642'!$N$5&lt;=B17,'642'!$O$5&gt;=B17),"642",IF(AND(L17="641",'641'!$N$5&lt;=B17,'641'!$O$5&gt;=B17),"641",""))))</f>
        <v/>
      </c>
      <c r="V17" s="49" t="str">
        <f>IF(OR(TH!L17=TH!$V$7,M17=TH!$V$7),"x","")</f>
        <v/>
      </c>
      <c r="W17" s="49" t="str">
        <f>IF(AND(B17&gt;='IN-NX'!$P$3,B17&lt;='IN-NX'!$Q$3,'IN-NX'!$D$7=D17,OR(LEFT(L17,2)="15",AND(LEFT(M17,2)&lt;&gt;"15",LEFT(M17,2)&lt;&gt;"33"))),"x","")</f>
        <v/>
      </c>
      <c r="X17" s="49" t="str">
        <f>IF(AND(OR(LEFT(TH!L17,2)="15",LEFT(TH!M17,2)="15"),'152-CT'!$J$8=TH!F17),"x","")</f>
        <v/>
      </c>
      <c r="Y17" s="49" t="str">
        <f>IF(AND(OR(LEFT(TH!L17,2)="15",LEFT(TH!M17,2)="15"),TK!$E$7=TH!F17),"x","")</f>
        <v/>
      </c>
      <c r="Z17" s="49" t="str">
        <f>IF(AND(B17&lt;=NKC!$N$8,B17&gt;=NKC!$M$8),"x","")</f>
        <v/>
      </c>
      <c r="AA17" s="694"/>
    </row>
    <row r="18" spans="1:30" s="594" customFormat="1" ht="15.75" hidden="1" customHeight="1">
      <c r="A18" s="724" t="str">
        <f>IF(B18&lt;&gt;"",IF(AND(B18&gt;=_TM1,B18&lt;=_TM2,OR(TH!L18="1111",TH!M18="1111")),TH!D18,""),"")</f>
        <v/>
      </c>
      <c r="B18" s="593">
        <f t="shared" ref="B18" si="3">IF(C18&lt;&gt;"",MONTH(C18),"")</f>
        <v>12</v>
      </c>
      <c r="C18" s="45">
        <f t="shared" ref="C18" si="4">E18</f>
        <v>41274</v>
      </c>
      <c r="D18" s="45" t="s">
        <v>95</v>
      </c>
      <c r="E18" s="45">
        <v>41274</v>
      </c>
      <c r="F18" s="46" t="s">
        <v>371</v>
      </c>
      <c r="G18" s="730"/>
      <c r="H18" s="47"/>
      <c r="I18" s="245"/>
      <c r="J18" s="245"/>
      <c r="K18" s="48">
        <f>SUMIF(KHC,L18,TH)</f>
        <v>0</v>
      </c>
      <c r="L18" s="49" t="s">
        <v>367</v>
      </c>
      <c r="M18" s="49" t="s">
        <v>91</v>
      </c>
      <c r="N18" s="49" t="str">
        <f>IF(AND('331-CT'!$E$7=TH!H18,OR(L18="331",M18="331")),"331",IF(AND(OR(L18="131",M18="131"),H18='131-CT'!$E$7),"131",""))</f>
        <v/>
      </c>
      <c r="O18" s="49" t="str">
        <f>IF(AND($B18&gt;='111'!$N$11,$B18&lt;='111'!$O$11,OR($L18=$O$7,$M18=$O$7)),"x","")</f>
        <v/>
      </c>
      <c r="P18" s="49" t="str">
        <f>IF(AND($L18=$O$7,$B18&lt;'111'!$N$11),"x","")</f>
        <v/>
      </c>
      <c r="Q18" s="49" t="str">
        <f>IF(AND($M18=$O$7,$B18&lt;'111'!$N$11),"x","")</f>
        <v/>
      </c>
      <c r="R18" s="49" t="str">
        <f>IF(ISERROR(FIND('112'!$M$9,G18,1)),"",IF((AND(FIND('112'!$M$9,G18,1)&gt;=1,$B18&gt;='112'!$N$8,$B18&lt;='112'!$O$8,OR($L18='112'!$I$6,$M18='112'!$I$6))),"x",""))</f>
        <v/>
      </c>
      <c r="S18" s="49" t="str">
        <f>IF(ISERROR(FIND('112'!$M$9,G18,1)),"",IF((AND(LEFT(G18,2)=LEFT('112'!$M$9,2),B18&lt;'112'!$N$8,$L18='112'!$I$6)),"x",""))</f>
        <v/>
      </c>
      <c r="T18" s="49" t="str">
        <f>IF(ISERROR(FIND('112'!$M$9,G18,1)),"",IF((AND(RIGHT(G18,2)=RIGHT('112'!$M$9,2),B18&lt;'112'!$N$8,$M18='112'!$I$6)),"x",""))</f>
        <v/>
      </c>
      <c r="U18" s="49" t="str">
        <f>IF(AND(L18="154",'154'!$O$5&lt;=B18,'154'!$P$5&gt;=B18),"154",IF(AND(L18="632",'632'!$L$5&lt;=B18,'632'!$M$5&gt;=B18),"632",IF(AND(L18="642",'642'!$N$5&lt;=B18,'642'!$O$5&gt;=B18),"642",IF(AND(L18="641",'641'!$N$5&lt;=B18,'641'!$O$5&gt;=B18),"641",""))))</f>
        <v/>
      </c>
      <c r="V18" s="49" t="str">
        <f>IF(OR(TH!L18=TH!$V$7,M18=TH!$V$7),"x","")</f>
        <v/>
      </c>
      <c r="W18" s="49" t="str">
        <f>IF(AND(B18&gt;='IN-NX'!$P$3,B18&lt;='IN-NX'!$Q$3,'IN-NX'!$D$7=D18,OR(LEFT(L18,2)="15",AND(LEFT(M18,2)&lt;&gt;"15",LEFT(M18,2)&lt;&gt;"33"))),"x","")</f>
        <v/>
      </c>
      <c r="X18" s="49" t="str">
        <f>IF(AND(OR(LEFT(TH!L18,2)="15",LEFT(TH!M18,2)="15"),'152-CT'!$J$8=TH!F18),"x","")</f>
        <v/>
      </c>
      <c r="Y18" s="49" t="str">
        <f>IF(AND(OR(LEFT(TH!L18,2)="15",LEFT(TH!M18,2)="15"),TK!$E$7=TH!F18),"x","")</f>
        <v/>
      </c>
      <c r="Z18" s="49" t="str">
        <f>IF(AND(B18&lt;=NKC!$N$8,B18&gt;=NKC!$M$8),"x","")</f>
        <v/>
      </c>
      <c r="AA18" s="694"/>
    </row>
    <row r="19" spans="1:30" s="594" customFormat="1" ht="15.75" hidden="1" customHeight="1">
      <c r="A19" s="724" t="str">
        <f>IF(B19&lt;&gt;"",IF(AND(B19&gt;=_TM1,B19&lt;=_TM2,OR(TH!L19="1111",TH!M19="1111")),TH!D19,""),"")</f>
        <v/>
      </c>
      <c r="B19" s="593">
        <f t="shared" si="0"/>
        <v>12</v>
      </c>
      <c r="C19" s="45">
        <f t="shared" si="1"/>
        <v>41274</v>
      </c>
      <c r="D19" s="45" t="s">
        <v>95</v>
      </c>
      <c r="E19" s="45">
        <v>41274</v>
      </c>
      <c r="F19" s="46" t="s">
        <v>372</v>
      </c>
      <c r="G19" s="730"/>
      <c r="H19" s="47"/>
      <c r="I19" s="245"/>
      <c r="J19" s="245"/>
      <c r="K19" s="48">
        <f>SUMIF(KHC,L19,TH)</f>
        <v>245490958</v>
      </c>
      <c r="L19" s="49" t="s">
        <v>164</v>
      </c>
      <c r="M19" s="49" t="s">
        <v>91</v>
      </c>
      <c r="N19" s="49" t="str">
        <f>IF(AND('331-CT'!$E$7=TH!H19,OR(L19="331",M19="331")),"331",IF(AND(OR(L19="131",M19="131"),H19='131-CT'!$E$7),"131",""))</f>
        <v/>
      </c>
      <c r="O19" s="49" t="str">
        <f>IF(AND($B19&gt;='111'!$N$11,$B19&lt;='111'!$O$11,OR($L19=$O$7,$M19=$O$7)),"x","")</f>
        <v/>
      </c>
      <c r="P19" s="49" t="str">
        <f>IF(AND($L19=$O$7,$B19&lt;'111'!$N$11),"x","")</f>
        <v/>
      </c>
      <c r="Q19" s="49" t="str">
        <f>IF(AND($M19=$O$7,$B19&lt;'111'!$N$11),"x","")</f>
        <v/>
      </c>
      <c r="R19" s="49" t="str">
        <f>IF(ISERROR(FIND('112'!$M$9,G19,1)),"",IF((AND(FIND('112'!$M$9,G19,1)&gt;=1,$B19&gt;='112'!$N$8,$B19&lt;='112'!$O$8,OR($L19='112'!$I$6,$M19='112'!$I$6))),"x",""))</f>
        <v/>
      </c>
      <c r="S19" s="49" t="str">
        <f>IF(ISERROR(FIND('112'!$M$9,G19,1)),"",IF((AND(LEFT(G19,2)=LEFT('112'!$M$9,2),B19&lt;'112'!$N$8,$L19='112'!$I$6)),"x",""))</f>
        <v/>
      </c>
      <c r="T19" s="49" t="str">
        <f>IF(ISERROR(FIND('112'!$M$9,G19,1)),"",IF((AND(RIGHT(G19,2)=RIGHT('112'!$M$9,2),B19&lt;'112'!$N$8,$M19='112'!$I$6)),"x",""))</f>
        <v/>
      </c>
      <c r="U19" s="49" t="str">
        <f>IF(AND(L19="154",'154'!$O$5&lt;=B19,'154'!$P$5&gt;=B19),"154",IF(AND(L19="632",'632'!$L$5&lt;=B19,'632'!$M$5&gt;=B19),"632",IF(AND(L19="642",'642'!$N$5&lt;=B19,'642'!$O$5&gt;=B19),"642",IF(AND(L19="641",'641'!$N$5&lt;=B19,'641'!$O$5&gt;=B19),"641",""))))</f>
        <v/>
      </c>
      <c r="V19" s="49" t="str">
        <f>IF(OR(TH!L19=TH!$V$7,M19=TH!$V$7),"x","")</f>
        <v/>
      </c>
      <c r="W19" s="49" t="str">
        <f>IF(AND(B19&gt;='IN-NX'!$P$3,B19&lt;='IN-NX'!$Q$3,'IN-NX'!$D$7=D19,OR(LEFT(L19,2)="15",AND(LEFT(M19,2)&lt;&gt;"15",LEFT(M19,2)&lt;&gt;"33"))),"x","")</f>
        <v/>
      </c>
      <c r="X19" s="49" t="str">
        <f>IF(AND(OR(LEFT(TH!L19,2)="15",LEFT(TH!M19,2)="15"),'152-CT'!$J$8=TH!F19),"x","")</f>
        <v/>
      </c>
      <c r="Y19" s="49" t="str">
        <f>IF(AND(OR(LEFT(TH!L19,2)="15",LEFT(TH!M19,2)="15"),TK!$E$7=TH!F19),"x","")</f>
        <v/>
      </c>
      <c r="Z19" s="49" t="str">
        <f>IF(AND(B19&lt;=NKC!$N$8,B19&gt;=NKC!$M$8),"x","")</f>
        <v/>
      </c>
      <c r="AA19" s="694"/>
    </row>
    <row r="20" spans="1:30" s="594" customFormat="1" ht="15.75" hidden="1" customHeight="1">
      <c r="A20" s="724" t="str">
        <f>IF(B20&lt;&gt;"",IF(AND(B20&gt;=_TM1,B20&lt;=_TM2,OR(TH!L20="1111",TH!M20="1111")),TH!D20,""),"")</f>
        <v/>
      </c>
      <c r="B20" s="593">
        <f t="shared" si="0"/>
        <v>12</v>
      </c>
      <c r="C20" s="45">
        <f t="shared" si="1"/>
        <v>41274</v>
      </c>
      <c r="D20" s="45" t="s">
        <v>95</v>
      </c>
      <c r="E20" s="45">
        <v>41274</v>
      </c>
      <c r="F20" s="46" t="s">
        <v>99</v>
      </c>
      <c r="G20" s="730"/>
      <c r="H20" s="47"/>
      <c r="I20" s="245"/>
      <c r="J20" s="245"/>
      <c r="K20" s="48">
        <f>SUMIF(KHC,L20,TH)</f>
        <v>0</v>
      </c>
      <c r="L20" s="49" t="s">
        <v>85</v>
      </c>
      <c r="M20" s="49" t="s">
        <v>91</v>
      </c>
      <c r="N20" s="49" t="str">
        <f>IF(AND('331-CT'!$E$7=TH!H20,OR(L20="331",M20="331")),"331",IF(AND(OR(L20="131",M20="131"),H20='131-CT'!$E$7),"131",""))</f>
        <v/>
      </c>
      <c r="O20" s="49" t="str">
        <f>IF(AND($B20&gt;='111'!$N$11,$B20&lt;='111'!$O$11,OR($L20=$O$7,$M20=$O$7)),"x","")</f>
        <v/>
      </c>
      <c r="P20" s="49" t="str">
        <f>IF(AND($L20=$O$7,$B20&lt;'111'!$N$11),"x","")</f>
        <v/>
      </c>
      <c r="Q20" s="49" t="str">
        <f>IF(AND($M20=$O$7,$B20&lt;'111'!$N$11),"x","")</f>
        <v/>
      </c>
      <c r="R20" s="49" t="str">
        <f>IF(ISERROR(FIND('112'!$M$9,G20,1)),"",IF((AND(FIND('112'!$M$9,G20,1)&gt;=1,$B20&gt;='112'!$N$8,$B20&lt;='112'!$O$8,OR($L20='112'!$I$6,$M20='112'!$I$6))),"x",""))</f>
        <v/>
      </c>
      <c r="S20" s="49" t="str">
        <f>IF(ISERROR(FIND('112'!$M$9,G20,1)),"",IF((AND(LEFT(G20,2)=LEFT('112'!$M$9,2),B20&lt;'112'!$N$8,$L20='112'!$I$6)),"x",""))</f>
        <v/>
      </c>
      <c r="T20" s="49" t="str">
        <f>IF(ISERROR(FIND('112'!$M$9,G20,1)),"",IF((AND(RIGHT(G20,2)=RIGHT('112'!$M$9,2),B20&lt;'112'!$N$8,$M20='112'!$I$6)),"x",""))</f>
        <v/>
      </c>
      <c r="U20" s="49" t="str">
        <f>IF(AND(L20="154",'154'!$O$5&lt;=B20,'154'!$P$5&gt;=B20),"154",IF(AND(L20="632",'632'!$L$5&lt;=B20,'632'!$M$5&gt;=B20),"632",IF(AND(L20="642",'642'!$N$5&lt;=B20,'642'!$O$5&gt;=B20),"642",IF(AND(L20="641",'641'!$N$5&lt;=B20,'641'!$O$5&gt;=B20),"641",""))))</f>
        <v/>
      </c>
      <c r="V20" s="49" t="str">
        <f>IF(OR(TH!L20=TH!$V$7,M20=TH!$V$7),"x","")</f>
        <v/>
      </c>
      <c r="W20" s="49" t="str">
        <f>IF(AND(B20&gt;='IN-NX'!$P$3,B20&lt;='IN-NX'!$Q$3,'IN-NX'!$D$7=D20,OR(LEFT(L20,2)="15",AND(LEFT(M20,2)&lt;&gt;"15",LEFT(M20,2)&lt;&gt;"33"))),"x","")</f>
        <v/>
      </c>
      <c r="X20" s="49" t="str">
        <f>IF(AND(OR(LEFT(TH!L20,2)="15",LEFT(TH!M20,2)="15"),'152-CT'!$J$8=TH!F20),"x","")</f>
        <v/>
      </c>
      <c r="Y20" s="49" t="str">
        <f>IF(AND(OR(LEFT(TH!L20,2)="15",LEFT(TH!M20,2)="15"),TK!$E$7=TH!F20),"x","")</f>
        <v/>
      </c>
      <c r="Z20" s="49" t="str">
        <f>IF(AND(B20&lt;=NKC!$N$8,B20&gt;=NKC!$M$8),"x","")</f>
        <v/>
      </c>
      <c r="AA20" s="694"/>
    </row>
    <row r="21" spans="1:30" s="594" customFormat="1" ht="15.75" hidden="1" customHeight="1">
      <c r="A21" s="724" t="str">
        <f>IF(B21&lt;&gt;"",IF(AND(B21&gt;=_TM1,B21&lt;=_TM2,OR(TH!L21="1111",TH!M21="1111")),TH!D21,""),"")</f>
        <v/>
      </c>
      <c r="B21" s="593">
        <f t="shared" si="0"/>
        <v>12</v>
      </c>
      <c r="C21" s="45">
        <f t="shared" si="1"/>
        <v>41274</v>
      </c>
      <c r="D21" s="45" t="s">
        <v>95</v>
      </c>
      <c r="E21" s="45">
        <v>41274</v>
      </c>
      <c r="F21" s="46" t="s">
        <v>100</v>
      </c>
      <c r="G21" s="730"/>
      <c r="H21" s="47"/>
      <c r="I21" s="245"/>
      <c r="J21" s="245"/>
      <c r="K21" s="48">
        <f>SUMIF(KHN,M21,TH)</f>
        <v>0</v>
      </c>
      <c r="L21" s="50" t="s">
        <v>91</v>
      </c>
      <c r="M21" s="49" t="s">
        <v>87</v>
      </c>
      <c r="N21" s="49" t="str">
        <f>IF(AND('331-CT'!$E$7=TH!H21,OR(L21="331",M21="331")),"331",IF(AND(OR(L21="131",M21="131"),H21='131-CT'!$E$7),"131",""))</f>
        <v/>
      </c>
      <c r="O21" s="49" t="str">
        <f>IF(AND($B21&gt;='111'!$N$11,$B21&lt;='111'!$O$11,OR($L21=$O$7,$M21=$O$7)),"x","")</f>
        <v/>
      </c>
      <c r="P21" s="49" t="str">
        <f>IF(AND($L21=$O$7,$B21&lt;'111'!$N$11),"x","")</f>
        <v/>
      </c>
      <c r="Q21" s="49" t="str">
        <f>IF(AND($M21=$O$7,$B21&lt;'111'!$N$11),"x","")</f>
        <v/>
      </c>
      <c r="R21" s="49" t="str">
        <f>IF(ISERROR(FIND('112'!$M$9,G21,1)),"",IF((AND(FIND('112'!$M$9,G21,1)&gt;=1,$B21&gt;='112'!$N$8,$B21&lt;='112'!$O$8,OR($L21='112'!$I$6,$M21='112'!$I$6))),"x",""))</f>
        <v/>
      </c>
      <c r="S21" s="49" t="str">
        <f>IF(ISERROR(FIND('112'!$M$9,G21,1)),"",IF((AND(LEFT(G21,2)=LEFT('112'!$M$9,2),B21&lt;'112'!$N$8,$L21='112'!$I$6)),"x",""))</f>
        <v/>
      </c>
      <c r="T21" s="49" t="str">
        <f>IF(ISERROR(FIND('112'!$M$9,G21,1)),"",IF((AND(RIGHT(G21,2)=RIGHT('112'!$M$9,2),B21&lt;'112'!$N$8,$M21='112'!$I$6)),"x",""))</f>
        <v/>
      </c>
      <c r="U21" s="49" t="str">
        <f>IF(AND(L21="154",'154'!$O$5&lt;=B21,'154'!$P$5&gt;=B21),"154",IF(AND(L21="632",'632'!$L$5&lt;=B21,'632'!$M$5&gt;=B21),"632",IF(AND(L21="642",'642'!$N$5&lt;=B21,'642'!$O$5&gt;=B21),"642",IF(AND(L21="641",'641'!$N$5&lt;=B21,'641'!$O$5&gt;=B21),"641",""))))</f>
        <v/>
      </c>
      <c r="V21" s="49" t="str">
        <f>IF(OR(TH!L21=TH!$V$7,M21=TH!$V$7),"x","")</f>
        <v/>
      </c>
      <c r="W21" s="49" t="str">
        <f>IF(AND(B21&gt;='IN-NX'!$P$3,B21&lt;='IN-NX'!$Q$3,'IN-NX'!$D$7=D21,OR(LEFT(L21,2)="15",AND(LEFT(M21,2)&lt;&gt;"15",LEFT(M21,2)&lt;&gt;"33"))),"x","")</f>
        <v/>
      </c>
      <c r="X21" s="49" t="str">
        <f>IF(AND(OR(LEFT(TH!L21,2)="15",LEFT(TH!M21,2)="15"),'152-CT'!$J$8=TH!F21),"x","")</f>
        <v/>
      </c>
      <c r="Y21" s="49" t="str">
        <f>IF(AND(OR(LEFT(TH!L21,2)="15",LEFT(TH!M21,2)="15"),TK!$E$7=TH!F21),"x","")</f>
        <v/>
      </c>
      <c r="Z21" s="49" t="str">
        <f>IF(AND(B21&lt;=NKC!$N$8,B21&gt;=NKC!$M$8),"x","")</f>
        <v/>
      </c>
      <c r="AA21" s="694"/>
    </row>
    <row r="22" spans="1:30" s="594" customFormat="1" ht="15.75" hidden="1" customHeight="1">
      <c r="A22" s="724" t="str">
        <f>IF(B22&lt;&gt;"",IF(AND(B22&gt;=_TM1,B22&lt;=_TM2,OR(TH!L22="1111",TH!M22="1111")),TH!D22,""),"")</f>
        <v/>
      </c>
      <c r="B22" s="593">
        <f t="shared" si="0"/>
        <v>12</v>
      </c>
      <c r="C22" s="45">
        <f t="shared" si="1"/>
        <v>41274</v>
      </c>
      <c r="D22" s="45" t="s">
        <v>95</v>
      </c>
      <c r="E22" s="45">
        <v>41274</v>
      </c>
      <c r="F22" s="46" t="s">
        <v>340</v>
      </c>
      <c r="G22" s="730"/>
      <c r="H22" s="47"/>
      <c r="I22" s="245"/>
      <c r="J22" s="245"/>
      <c r="K22" s="48">
        <v>20101889</v>
      </c>
      <c r="L22" s="50" t="s">
        <v>91</v>
      </c>
      <c r="M22" s="49" t="s">
        <v>76</v>
      </c>
      <c r="N22" s="49" t="str">
        <f>IF(AND('331-CT'!$E$7=TH!H22,OR(L22="331",M22="331")),"331",IF(AND(OR(L22="131",M22="131"),H22='131-CT'!$E$7),"131",""))</f>
        <v/>
      </c>
      <c r="O22" s="49" t="str">
        <f>IF(AND($B22&gt;='111'!$N$11,$B22&lt;='111'!$O$11,OR($L22=$O$7,$M22=$O$7)),"x","")</f>
        <v/>
      </c>
      <c r="P22" s="49" t="str">
        <f>IF(AND($L22=$O$7,$B22&lt;'111'!$N$11),"x","")</f>
        <v/>
      </c>
      <c r="Q22" s="49" t="str">
        <f>IF(AND($M22=$O$7,$B22&lt;'111'!$N$11),"x","")</f>
        <v/>
      </c>
      <c r="R22" s="49" t="str">
        <f>IF(ISERROR(FIND('112'!$M$9,G22,1)),"",IF((AND(FIND('112'!$M$9,G22,1)&gt;=1,$B22&gt;='112'!$N$8,$B22&lt;='112'!$O$8,OR($L22='112'!$I$6,$M22='112'!$I$6))),"x",""))</f>
        <v/>
      </c>
      <c r="S22" s="49" t="str">
        <f>IF(ISERROR(FIND('112'!$M$9,G22,1)),"",IF((AND(LEFT(G22,2)=LEFT('112'!$M$9,2),B22&lt;'112'!$N$8,$L22='112'!$I$6)),"x",""))</f>
        <v/>
      </c>
      <c r="T22" s="49" t="str">
        <f>IF(ISERROR(FIND('112'!$M$9,G22,1)),"",IF((AND(RIGHT(G22,2)=RIGHT('112'!$M$9,2),B22&lt;'112'!$N$8,$M22='112'!$I$6)),"x",""))</f>
        <v/>
      </c>
      <c r="U22" s="49" t="str">
        <f>IF(AND(L22="154",'154'!$O$5&lt;=B22,'154'!$P$5&gt;=B22),"154",IF(AND(L22="632",'632'!$L$5&lt;=B22,'632'!$M$5&gt;=B22),"632",IF(AND(L22="642",'642'!$N$5&lt;=B22,'642'!$O$5&gt;=B22),"642",IF(AND(L22="641",'641'!$N$5&lt;=B22,'641'!$O$5&gt;=B22),"641",""))))</f>
        <v/>
      </c>
      <c r="V22" s="49" t="str">
        <f>IF(OR(TH!L22=TH!$V$7,M22=TH!$V$7),"x","")</f>
        <v/>
      </c>
      <c r="W22" s="49" t="str">
        <f>IF(AND(B22&gt;='IN-NX'!$P$3,B22&lt;='IN-NX'!$Q$3,'IN-NX'!$D$7=D22,OR(LEFT(L22,2)="15",AND(LEFT(M22,2)&lt;&gt;"15",LEFT(M22,2)&lt;&gt;"33"))),"x","")</f>
        <v/>
      </c>
      <c r="X22" s="49" t="str">
        <f>IF(AND(OR(LEFT(TH!L22,2)="15",LEFT(TH!M22,2)="15"),'152-CT'!$J$8=TH!F22),"x","")</f>
        <v/>
      </c>
      <c r="Y22" s="49" t="str">
        <f>IF(AND(OR(LEFT(TH!L22,2)="15",LEFT(TH!M22,2)="15"),TK!$E$7=TH!F22),"x","")</f>
        <v/>
      </c>
      <c r="Z22" s="49" t="str">
        <f>IF(AND(B22&lt;=NKC!$N$8,B22&gt;=NKC!$M$8),"x","")</f>
        <v/>
      </c>
      <c r="AA22" s="694"/>
    </row>
    <row r="23" spans="1:30" s="594" customFormat="1" ht="15.75" hidden="1" customHeight="1">
      <c r="A23" s="724" t="str">
        <f>IF(B23&lt;&gt;"",IF(AND(B23&gt;=_TM1,B23&lt;=_TM2,OR(TH!L23="1111",TH!M23="1111")),TH!D23,""),"")</f>
        <v/>
      </c>
      <c r="B23" s="593" t="str">
        <f t="shared" si="0"/>
        <v/>
      </c>
      <c r="C23" s="45"/>
      <c r="D23" s="45"/>
      <c r="E23" s="45"/>
      <c r="F23" s="46" t="s">
        <v>339</v>
      </c>
      <c r="G23" s="730"/>
      <c r="H23" s="47"/>
      <c r="I23" s="245"/>
      <c r="J23" s="245"/>
      <c r="K23" s="48"/>
      <c r="L23" s="50"/>
      <c r="M23" s="49"/>
      <c r="N23" s="49" t="str">
        <f>IF(AND('331-CT'!$E$7=TH!H23,OR(L23="331",M23="331")),"331",IF(AND(OR(L23="131",M23="131"),H23='131-CT'!$E$7),"131",""))</f>
        <v/>
      </c>
      <c r="O23" s="49" t="str">
        <f>IF(AND($B23&gt;='111'!$N$11,$B23&lt;='111'!$O$11,OR($L23=$O$7,$M23=$O$7)),"x","")</f>
        <v/>
      </c>
      <c r="P23" s="49" t="str">
        <f>IF(AND($L23=$O$7,$B23&lt;'111'!$N$11),"x","")</f>
        <v/>
      </c>
      <c r="Q23" s="49" t="str">
        <f>IF(AND($M23=$O$7,$B23&lt;'111'!$N$11),"x","")</f>
        <v/>
      </c>
      <c r="R23" s="49" t="str">
        <f>IF(ISERROR(FIND('112'!$M$9,G23,1)),"",IF((AND(FIND('112'!$M$9,G23,1)&gt;=1,$B23&gt;='112'!$N$8,$B23&lt;='112'!$O$8,OR($L23='112'!$I$6,$M23='112'!$I$6))),"x",""))</f>
        <v/>
      </c>
      <c r="S23" s="49" t="str">
        <f>IF(ISERROR(FIND('112'!$M$9,G23,1)),"",IF((AND(LEFT(G23,2)=LEFT('112'!$M$9,2),B23&lt;'112'!$N$8,$L23='112'!$I$6)),"x",""))</f>
        <v/>
      </c>
      <c r="T23" s="49" t="str">
        <f>IF(ISERROR(FIND('112'!$M$9,G23,1)),"",IF((AND(RIGHT(G23,2)=RIGHT('112'!$M$9,2),B23&lt;'112'!$N$8,$M23='112'!$I$6)),"x",""))</f>
        <v/>
      </c>
      <c r="U23" s="49" t="str">
        <f>IF(AND(L23="154",'154'!$O$5&lt;=B23,'154'!$P$5&gt;=B23),"154",IF(AND(L23="632",'632'!$L$5&lt;=B23,'632'!$M$5&gt;=B23),"632",IF(AND(L23="642",'642'!$N$5&lt;=B23,'642'!$O$5&gt;=B23),"642",IF(AND(L23="641",'641'!$N$5&lt;=B23,'641'!$O$5&gt;=B23),"641",""))))</f>
        <v/>
      </c>
      <c r="V23" s="49" t="str">
        <f>IF(OR(TH!L23=TH!$V$7,M23=TH!$V$7),"x","")</f>
        <v/>
      </c>
      <c r="W23" s="49" t="str">
        <f>IF(AND(B23&gt;='IN-NX'!$P$3,B23&lt;='IN-NX'!$Q$3,'IN-NX'!$D$7=D23,OR(LEFT(L23,2)="15",AND(LEFT(M23,2)&lt;&gt;"15",LEFT(M23,2)&lt;&gt;"33"))),"x","")</f>
        <v/>
      </c>
      <c r="X23" s="49" t="str">
        <f>IF(AND(OR(LEFT(TH!L23,2)="15",LEFT(TH!M23,2)="15"),'152-CT'!$J$8=TH!F23),"x","")</f>
        <v/>
      </c>
      <c r="Y23" s="49" t="str">
        <f>IF(AND(OR(LEFT(TH!L23,2)="15",LEFT(TH!M23,2)="15"),TK!$E$7=TH!F23),"x","")</f>
        <v/>
      </c>
      <c r="Z23" s="49" t="str">
        <f>IF(AND(B23&lt;=NKC!$N$8,B23&gt;=NKC!$M$8),"x","")</f>
        <v/>
      </c>
      <c r="AA23" s="694"/>
    </row>
    <row r="24" spans="1:30" s="594" customFormat="1" ht="15.75" hidden="1" customHeight="1">
      <c r="A24" s="724" t="str">
        <f>IF(B24&lt;&gt;"",IF(AND(B24&gt;=_TM1,B24&lt;=_TM2,OR(TH!L24="1111",TH!M24="1111")),TH!D24,""),"")</f>
        <v/>
      </c>
      <c r="B24" s="593" t="str">
        <f t="shared" si="0"/>
        <v/>
      </c>
      <c r="C24" s="45"/>
      <c r="D24" s="45"/>
      <c r="E24" s="45"/>
      <c r="F24" s="46" t="s">
        <v>337</v>
      </c>
      <c r="G24" s="730"/>
      <c r="H24" s="47"/>
      <c r="I24" s="245"/>
      <c r="J24" s="245"/>
      <c r="K24" s="48"/>
      <c r="L24" s="50"/>
      <c r="M24" s="49"/>
      <c r="N24" s="49" t="str">
        <f>IF(AND('331-CT'!$E$7=TH!H24,OR(L24="331",M24="331")),"331",IF(AND(OR(L24="131",M24="131"),H24='131-CT'!$E$7),"131",""))</f>
        <v/>
      </c>
      <c r="O24" s="49" t="str">
        <f>IF(AND($B24&gt;='111'!$N$11,$B24&lt;='111'!$O$11,OR($L24=$O$7,$M24=$O$7)),"x","")</f>
        <v/>
      </c>
      <c r="P24" s="49" t="str">
        <f>IF(AND($L24=$O$7,$B24&lt;'111'!$N$11),"x","")</f>
        <v/>
      </c>
      <c r="Q24" s="49" t="str">
        <f>IF(AND($M24=$O$7,$B24&lt;'111'!$N$11),"x","")</f>
        <v/>
      </c>
      <c r="R24" s="49" t="str">
        <f>IF(ISERROR(FIND('112'!$M$9,G24,1)),"",IF((AND(FIND('112'!$M$9,G24,1)&gt;=1,$B24&gt;='112'!$N$8,$B24&lt;='112'!$O$8,OR($L24='112'!$I$6,$M24='112'!$I$6))),"x",""))</f>
        <v/>
      </c>
      <c r="S24" s="49" t="str">
        <f>IF(ISERROR(FIND('112'!$M$9,G24,1)),"",IF((AND(LEFT(G24,2)=LEFT('112'!$M$9,2),B24&lt;'112'!$N$8,$L24='112'!$I$6)),"x",""))</f>
        <v/>
      </c>
      <c r="T24" s="49" t="str">
        <f>IF(ISERROR(FIND('112'!$M$9,G24,1)),"",IF((AND(RIGHT(G24,2)=RIGHT('112'!$M$9,2),B24&lt;'112'!$N$8,$M24='112'!$I$6)),"x",""))</f>
        <v/>
      </c>
      <c r="U24" s="49" t="str">
        <f>IF(AND(L24="154",'154'!$O$5&lt;=B24,'154'!$P$5&gt;=B24),"154",IF(AND(L24="632",'632'!$L$5&lt;=B24,'632'!$M$5&gt;=B24),"632",IF(AND(L24="642",'642'!$N$5&lt;=B24,'642'!$O$5&gt;=B24),"642",IF(AND(L24="641",'641'!$N$5&lt;=B24,'641'!$O$5&gt;=B24),"641",""))))</f>
        <v/>
      </c>
      <c r="V24" s="49" t="str">
        <f>IF(OR(TH!L24=TH!$V$7,M24=TH!$V$7),"x","")</f>
        <v/>
      </c>
      <c r="W24" s="49" t="str">
        <f>IF(AND(B24&gt;='IN-NX'!$P$3,B24&lt;='IN-NX'!$Q$3,'IN-NX'!$D$7=D24,OR(LEFT(L24,2)="15",AND(LEFT(M24,2)&lt;&gt;"15",LEFT(M24,2)&lt;&gt;"33"))),"x","")</f>
        <v/>
      </c>
      <c r="X24" s="49" t="str">
        <f>IF(AND(OR(LEFT(TH!L24,2)="15",LEFT(TH!M24,2)="15"),'152-CT'!$J$8=TH!F24),"x","")</f>
        <v/>
      </c>
      <c r="Y24" s="49" t="str">
        <f>IF(AND(OR(LEFT(TH!L24,2)="15",LEFT(TH!M24,2)="15"),TK!$E$7=TH!F24),"x","")</f>
        <v/>
      </c>
      <c r="Z24" s="49" t="str">
        <f>IF(AND(B24&lt;=NKC!$N$8,B24&gt;=NKC!$M$8),"x","")</f>
        <v/>
      </c>
      <c r="AA24" s="694"/>
    </row>
    <row r="25" spans="1:30" s="594" customFormat="1" ht="15.75" hidden="1" customHeight="1">
      <c r="A25" s="724" t="str">
        <f>IF(B25&lt;&gt;"",IF(AND(B25&gt;=_TM1,B25&lt;=_TM2,OR(TH!L25="1111",TH!M25="1111")),TH!D25,""),"")</f>
        <v/>
      </c>
      <c r="B25" s="593" t="str">
        <f t="shared" si="0"/>
        <v/>
      </c>
      <c r="C25" s="45"/>
      <c r="D25" s="45"/>
      <c r="E25" s="45"/>
      <c r="F25" s="46" t="s">
        <v>338</v>
      </c>
      <c r="G25" s="730"/>
      <c r="H25" s="47"/>
      <c r="I25" s="245"/>
      <c r="J25" s="245"/>
      <c r="L25" s="50"/>
      <c r="M25" s="49"/>
      <c r="N25" s="49" t="str">
        <f>IF(AND('331-CT'!$E$7=TH!H25,OR(L25="331",M25="331")),"331",IF(AND(OR(L25="131",M25="131"),H25='131-CT'!$E$7),"131",""))</f>
        <v/>
      </c>
      <c r="O25" s="49" t="str">
        <f>IF(AND($B25&gt;='111'!$N$11,$B25&lt;='111'!$O$11,OR($L25=$O$7,$M25=$O$7)),"x","")</f>
        <v/>
      </c>
      <c r="P25" s="49" t="str">
        <f>IF(AND($L25=$O$7,$B25&lt;'111'!$N$11),"x","")</f>
        <v/>
      </c>
      <c r="Q25" s="49" t="str">
        <f>IF(AND($M25=$O$7,$B25&lt;'111'!$N$11),"x","")</f>
        <v/>
      </c>
      <c r="R25" s="49" t="str">
        <f>IF(ISERROR(FIND('112'!$M$9,G25,1)),"",IF((AND(FIND('112'!$M$9,G25,1)&gt;=1,$B25&gt;='112'!$N$8,$B25&lt;='112'!$O$8,OR($L25='112'!$I$6,$M25='112'!$I$6))),"x",""))</f>
        <v/>
      </c>
      <c r="S25" s="49" t="str">
        <f>IF(ISERROR(FIND('112'!$M$9,G25,1)),"",IF((AND(LEFT(G25,2)=LEFT('112'!$M$9,2),B25&lt;'112'!$N$8,$L25='112'!$I$6)),"x",""))</f>
        <v/>
      </c>
      <c r="T25" s="49" t="str">
        <f>IF(ISERROR(FIND('112'!$M$9,G25,1)),"",IF((AND(RIGHT(G25,2)=RIGHT('112'!$M$9,2),B25&lt;'112'!$N$8,$M25='112'!$I$6)),"x",""))</f>
        <v/>
      </c>
      <c r="U25" s="49" t="str">
        <f>IF(AND(L25="154",'154'!$O$5&lt;=B25,'154'!$P$5&gt;=B25),"154",IF(AND(L25="632",'632'!$L$5&lt;=B25,'632'!$M$5&gt;=B25),"632",IF(AND(L25="642",'642'!$N$5&lt;=B25,'642'!$O$5&gt;=B25),"642",IF(AND(L25="641",'641'!$N$5&lt;=B25,'641'!$O$5&gt;=B25),"641",""))))</f>
        <v/>
      </c>
      <c r="V25" s="49" t="str">
        <f>IF(OR(TH!L25=TH!$V$7,M25=TH!$V$7),"x","")</f>
        <v/>
      </c>
      <c r="W25" s="49" t="str">
        <f>IF(AND(B25&gt;='IN-NX'!$P$3,B25&lt;='IN-NX'!$Q$3,'IN-NX'!$D$7=D25,OR(LEFT(L25,2)="15",AND(LEFT(M25,2)&lt;&gt;"15",LEFT(M25,2)&lt;&gt;"33"))),"x","")</f>
        <v/>
      </c>
      <c r="X25" s="49" t="str">
        <f>IF(AND(OR(LEFT(TH!L25,2)="15",LEFT(TH!M25,2)="15"),'152-CT'!$J$8=TH!F25),"x","")</f>
        <v/>
      </c>
      <c r="Y25" s="49" t="str">
        <f>IF(AND(OR(LEFT(TH!L25,2)="15",LEFT(TH!M25,2)="15"),TK!$E$7=TH!F25),"x","")</f>
        <v/>
      </c>
      <c r="Z25" s="49" t="str">
        <f>IF(AND(B25&lt;=NKC!$N$8,B25&gt;=NKC!$M$8),"x","")</f>
        <v/>
      </c>
      <c r="AA25" s="694"/>
    </row>
    <row r="26" spans="1:30" s="497" customFormat="1" ht="15.75" hidden="1" customHeight="1">
      <c r="A26" s="724" t="str">
        <f>IF(B26&lt;&gt;"",IF(AND(B26&gt;=_TM1,B26&lt;=_TM2,OR(TH!L26="1111",TH!M26="1111")),TH!D26,""),"")</f>
        <v/>
      </c>
      <c r="B26" s="36">
        <f t="shared" ref="B26:B90" si="5">IF(C26&lt;&gt;"",MONTH(C26),"")</f>
        <v>8</v>
      </c>
      <c r="C26" s="185">
        <f t="shared" ref="C26:C90" si="6">E26</f>
        <v>41122</v>
      </c>
      <c r="D26" s="185" t="s">
        <v>291</v>
      </c>
      <c r="E26" s="178">
        <v>41122</v>
      </c>
      <c r="F26" s="183" t="s">
        <v>435</v>
      </c>
      <c r="G26" s="731"/>
      <c r="H26" s="7"/>
      <c r="I26" s="247"/>
      <c r="J26" s="247"/>
      <c r="K26" s="37">
        <v>2500000000</v>
      </c>
      <c r="L26" s="188" t="s">
        <v>47</v>
      </c>
      <c r="M26" s="188" t="s">
        <v>25</v>
      </c>
      <c r="N26" s="49" t="str">
        <f>IF(AND('331-CT'!$E$7=TH!H26,OR(L26="331",M26="331")),"331",IF(AND(OR(L26="131",M26="131"),H26='131-CT'!$E$7),"131",""))</f>
        <v/>
      </c>
      <c r="O26" s="49" t="str">
        <f>IF(AND($B26&gt;='111'!$N$11,$B26&lt;='111'!$O$11,OR($L26=$O$7,$M26=$O$7)),"x","")</f>
        <v/>
      </c>
      <c r="P26" s="49" t="str">
        <f>IF(AND($L26=$O$7,$B26&lt;'111'!$N$11),"x","")</f>
        <v>x</v>
      </c>
      <c r="Q26" s="49" t="str">
        <f>IF(AND($M26=$O$7,$B26&lt;'111'!$N$11),"x","")</f>
        <v/>
      </c>
      <c r="R26" s="49" t="str">
        <f>IF(ISERROR(FIND('112'!$M$9,G26,1)),"",IF((AND(FIND('112'!$M$9,G26,1)&gt;=1,$B26&gt;='112'!$N$8,$B26&lt;='112'!$O$8,OR($L26='112'!$I$6,$M26='112'!$I$6))),"x",""))</f>
        <v/>
      </c>
      <c r="S26" s="49" t="str">
        <f>IF(ISERROR(FIND('112'!$M$9,G26,1)),"",IF((AND(LEFT(G26,2)=LEFT('112'!$M$9,2),B26&lt;'112'!$N$8,$L26='112'!$I$6)),"x",""))</f>
        <v/>
      </c>
      <c r="T26" s="49" t="str">
        <f>IF(ISERROR(FIND('112'!$M$9,G26,1)),"",IF((AND(RIGHT(G26,2)=RIGHT('112'!$M$9,2),B26&lt;'112'!$N$8,$M26='112'!$I$6)),"x",""))</f>
        <v/>
      </c>
      <c r="U26" s="49" t="str">
        <f>IF(AND(L26="154",'154'!$O$5&lt;=B26,'154'!$P$5&gt;=B26),"154",IF(AND(L26="632",'632'!$L$5&lt;=B26,'632'!$M$5&gt;=B26),"632",IF(AND(L26="642",'642'!$N$5&lt;=B26,'642'!$O$5&gt;=B26),"642",IF(AND(L26="641",'641'!$N$5&lt;=B26,'641'!$O$5&gt;=B26),"641",""))))</f>
        <v/>
      </c>
      <c r="V26" s="49" t="str">
        <f>IF(OR(TH!L26=TH!$V$7,M26=TH!$V$7),"x","")</f>
        <v/>
      </c>
      <c r="W26" s="49" t="str">
        <f>IF(AND(B26&gt;='IN-NX'!$P$3,B26&lt;='IN-NX'!$Q$3,'IN-NX'!$D$7=D26,OR(LEFT(L26,2)="15",AND(LEFT(M26,2)&lt;&gt;"15",LEFT(M26,2)&lt;&gt;"33"))),"x","")</f>
        <v/>
      </c>
      <c r="X26" s="49" t="str">
        <f>IF(AND(OR(LEFT(TH!L26,2)="15",LEFT(TH!M26,2)="15"),'152-CT'!$J$8=TH!F26),"x","")</f>
        <v/>
      </c>
      <c r="Y26" s="49" t="str">
        <f>IF(AND(OR(LEFT(TH!L26,2)="15",LEFT(TH!M26,2)="15"),TK!$E$7=TH!F26),"x","")</f>
        <v/>
      </c>
      <c r="Z26" s="49" t="str">
        <f>IF(AND(B26&lt;=NKC!$N$8,B26&gt;=NKC!$M$8),"x","")</f>
        <v>x</v>
      </c>
      <c r="AA26" s="723"/>
      <c r="AC26" s="199"/>
      <c r="AD26" s="199"/>
    </row>
    <row r="27" spans="1:30" s="497" customFormat="1" ht="15.75" hidden="1" customHeight="1">
      <c r="A27" s="724" t="str">
        <f>IF(B27&lt;&gt;"",IF(AND(B27&gt;=_TM1,B27&lt;=_TM2,OR(TH!L27="1111",TH!M27="1111")),TH!D27,""),"")</f>
        <v/>
      </c>
      <c r="B27" s="36">
        <f t="shared" si="5"/>
        <v>8</v>
      </c>
      <c r="C27" s="185">
        <f t="shared" si="6"/>
        <v>41131</v>
      </c>
      <c r="D27" s="178" t="s">
        <v>487</v>
      </c>
      <c r="E27" s="178">
        <v>41131</v>
      </c>
      <c r="F27" s="183" t="s">
        <v>474</v>
      </c>
      <c r="G27" s="731" t="s">
        <v>374</v>
      </c>
      <c r="H27" s="7"/>
      <c r="I27" s="247"/>
      <c r="J27" s="247"/>
      <c r="K27" s="37">
        <v>1000000</v>
      </c>
      <c r="L27" s="188" t="s">
        <v>24</v>
      </c>
      <c r="M27" s="188" t="s">
        <v>47</v>
      </c>
      <c r="N27" s="49" t="str">
        <f>IF(AND('331-CT'!$E$7=TH!H27,OR(L27="331",M27="331")),"331",IF(AND(OR(L27="131",M27="131"),H27='131-CT'!$E$7),"131",""))</f>
        <v/>
      </c>
      <c r="O27" s="49" t="str">
        <f>IF(AND($B27&gt;='111'!$N$11,$B27&lt;='111'!$O$11,OR($L27=$O$7,$M27=$O$7)),"x","")</f>
        <v/>
      </c>
      <c r="P27" s="49" t="str">
        <f>IF(AND($L27=$O$7,$B27&lt;'111'!$N$11),"x","")</f>
        <v/>
      </c>
      <c r="Q27" s="49" t="str">
        <f>IF(AND($M27=$O$7,$B27&lt;'111'!$N$11),"x","")</f>
        <v>x</v>
      </c>
      <c r="R27" s="49" t="str">
        <f>IF(ISERROR(FIND('112'!$M$9,G27,1)),"",IF((AND(FIND('112'!$M$9,G27,1)&gt;=1,$B27&gt;='112'!$N$8,$B27&lt;='112'!$O$8,OR($L27='112'!$I$6,$M27='112'!$I$6))),"x",""))</f>
        <v/>
      </c>
      <c r="S27" s="49" t="str">
        <f>IF(ISERROR(FIND('112'!$M$9,G27,1)),"",IF((AND(LEFT(G27,2)=LEFT('112'!$M$9,2),B27&lt;'112'!$N$8,$L27='112'!$I$6)),"x",""))</f>
        <v>x</v>
      </c>
      <c r="T27" s="49" t="str">
        <f>IF(ISERROR(FIND('112'!$M$9,G27,1)),"",IF((AND(RIGHT(G27,2)=RIGHT('112'!$M$9,2),B27&lt;'112'!$N$8,$M27='112'!$I$6)),"x",""))</f>
        <v/>
      </c>
      <c r="U27" s="49" t="str">
        <f>IF(AND(L27="154",'154'!$O$5&lt;=B27,'154'!$P$5&gt;=B27),"154",IF(AND(L27="632",'632'!$L$5&lt;=B27,'632'!$M$5&gt;=B27),"632",IF(AND(L27="642",'642'!$N$5&lt;=B27,'642'!$O$5&gt;=B27),"642",IF(AND(L27="641",'641'!$N$5&lt;=B27,'641'!$O$5&gt;=B27),"641",""))))</f>
        <v/>
      </c>
      <c r="V27" s="49" t="str">
        <f>IF(OR(TH!L27=TH!$V$7,M27=TH!$V$7),"x","")</f>
        <v/>
      </c>
      <c r="W27" s="49" t="str">
        <f>IF(AND(B27&gt;='IN-NX'!$P$3,B27&lt;='IN-NX'!$Q$3,'IN-NX'!$D$7=D27,OR(LEFT(L27,2)="15",AND(LEFT(M27,2)&lt;&gt;"15",LEFT(M27,2)&lt;&gt;"33"))),"x","")</f>
        <v/>
      </c>
      <c r="X27" s="49" t="str">
        <f>IF(AND(OR(LEFT(TH!L27,2)="15",LEFT(TH!M27,2)="15"),'152-CT'!$J$8=TH!F27),"x","")</f>
        <v/>
      </c>
      <c r="Y27" s="49" t="str">
        <f>IF(AND(OR(LEFT(TH!L27,2)="15",LEFT(TH!M27,2)="15"),TK!$E$7=TH!F27),"x","")</f>
        <v/>
      </c>
      <c r="Z27" s="49" t="str">
        <f>IF(AND(B27&lt;=NKC!$N$8,B27&gt;=NKC!$M$8),"x","")</f>
        <v>x</v>
      </c>
      <c r="AA27" s="723"/>
      <c r="AC27" s="199"/>
    </row>
    <row r="28" spans="1:30" s="497" customFormat="1" ht="15.75" hidden="1" customHeight="1">
      <c r="A28" s="724" t="str">
        <f>IF(B28&lt;&gt;"",IF(AND(B28&gt;=_TM1,B28&lt;=_TM2,OR(TH!L28="1111",TH!M28="1111")),TH!D28,""),"")</f>
        <v/>
      </c>
      <c r="B28" s="36">
        <f t="shared" si="5"/>
        <v>8</v>
      </c>
      <c r="C28" s="185">
        <f t="shared" si="6"/>
        <v>41136</v>
      </c>
      <c r="D28" s="178" t="s">
        <v>488</v>
      </c>
      <c r="E28" s="178">
        <v>41136</v>
      </c>
      <c r="F28" s="186" t="s">
        <v>404</v>
      </c>
      <c r="G28" s="731" t="s">
        <v>403</v>
      </c>
      <c r="H28" s="7" t="s">
        <v>402</v>
      </c>
      <c r="I28" s="247">
        <v>100</v>
      </c>
      <c r="J28" s="247">
        <v>25800</v>
      </c>
      <c r="K28" s="37">
        <f>ROUND(I28*J28,0)</f>
        <v>2580000</v>
      </c>
      <c r="L28" s="188" t="s">
        <v>160</v>
      </c>
      <c r="M28" s="188" t="s">
        <v>47</v>
      </c>
      <c r="N28" s="49" t="str">
        <f>IF(AND('331-CT'!$E$7=TH!H28,OR(L28="331",M28="331")),"331",IF(AND(OR(L28="131",M28="131"),H28='131-CT'!$E$7),"131",""))</f>
        <v/>
      </c>
      <c r="O28" s="49" t="str">
        <f>IF(AND($B28&gt;='111'!$N$11,$B28&lt;='111'!$O$11,OR($L28=$O$7,$M28=$O$7)),"x","")</f>
        <v/>
      </c>
      <c r="P28" s="49" t="str">
        <f>IF(AND($L28=$O$7,$B28&lt;'111'!$N$11),"x","")</f>
        <v/>
      </c>
      <c r="Q28" s="49" t="str">
        <f>IF(AND($M28=$O$7,$B28&lt;'111'!$N$11),"x","")</f>
        <v>x</v>
      </c>
      <c r="R28" s="49" t="str">
        <f>IF(ISERROR(FIND('112'!$M$9,G28,1)),"",IF((AND(FIND('112'!$M$9,G28,1)&gt;=1,$B28&gt;='112'!$N$8,$B28&lt;='112'!$O$8,OR($L28='112'!$I$6,$M28='112'!$I$6))),"x",""))</f>
        <v/>
      </c>
      <c r="S28" s="49" t="str">
        <f>IF(ISERROR(FIND('112'!$M$9,G28,1)),"",IF((AND(LEFT(G28,2)=LEFT('112'!$M$9,2),B28&lt;'112'!$N$8,$L28='112'!$I$6)),"x",""))</f>
        <v/>
      </c>
      <c r="T28" s="49" t="str">
        <f>IF(ISERROR(FIND('112'!$M$9,G28,1)),"",IF((AND(RIGHT(G28,2)=RIGHT('112'!$M$9,2),B28&lt;'112'!$N$8,$M28='112'!$I$6)),"x",""))</f>
        <v/>
      </c>
      <c r="U28" s="49" t="str">
        <f>IF(AND(L28="154",'154'!$O$5&lt;=B28,'154'!$P$5&gt;=B28),"154",IF(AND(L28="632",'632'!$L$5&lt;=B28,'632'!$M$5&gt;=B28),"632",IF(AND(L28="642",'642'!$N$5&lt;=B28,'642'!$O$5&gt;=B28),"642",IF(AND(L28="641",'641'!$N$5&lt;=B28,'641'!$O$5&gt;=B28),"641",""))))</f>
        <v>154</v>
      </c>
      <c r="V28" s="49" t="str">
        <f>IF(OR(TH!L28=TH!$V$7,M28=TH!$V$7),"x","")</f>
        <v/>
      </c>
      <c r="W28" s="49" t="str">
        <f>IF(AND(B28&gt;='IN-NX'!$P$3,B28&lt;='IN-NX'!$Q$3,'IN-NX'!$D$7=D28,OR(LEFT(L28,2)="15",AND(LEFT(M28,2)&lt;&gt;"15",LEFT(M28,2)&lt;&gt;"33"))),"x","")</f>
        <v/>
      </c>
      <c r="X28" s="49" t="str">
        <f>IF(AND(OR(LEFT(TH!L28,2)="15",LEFT(TH!M28,2)="15"),'152-CT'!$J$8=TH!F28),"x","")</f>
        <v/>
      </c>
      <c r="Y28" s="49" t="str">
        <f>IF(AND(OR(LEFT(TH!L28,2)="15",LEFT(TH!M28,2)="15"),TK!$E$7=TH!F28),"x","")</f>
        <v/>
      </c>
      <c r="Z28" s="49" t="str">
        <f>IF(AND(B28&lt;=NKC!$N$8,B28&gt;=NKC!$M$8),"x","")</f>
        <v>x</v>
      </c>
      <c r="AA28" s="723"/>
      <c r="AC28" s="199"/>
      <c r="AD28" s="199"/>
    </row>
    <row r="29" spans="1:30" s="497" customFormat="1" ht="15.75" customHeight="1">
      <c r="A29" s="724" t="str">
        <f>IF(B29&lt;&gt;"",IF(AND(B29&gt;=_TM1,B29&lt;=_TM2,OR(TH!L29="1111",TH!M29="1111")),TH!D29,""),"")</f>
        <v/>
      </c>
      <c r="B29" s="36">
        <f t="shared" si="5"/>
        <v>8</v>
      </c>
      <c r="C29" s="185">
        <f t="shared" si="6"/>
        <v>41136</v>
      </c>
      <c r="D29" s="178" t="s">
        <v>488</v>
      </c>
      <c r="E29" s="178">
        <v>41136</v>
      </c>
      <c r="F29" s="186" t="s">
        <v>405</v>
      </c>
      <c r="G29" s="731" t="s">
        <v>403</v>
      </c>
      <c r="H29" s="7" t="s">
        <v>402</v>
      </c>
      <c r="I29" s="247"/>
      <c r="J29" s="247"/>
      <c r="K29" s="505">
        <v>258000</v>
      </c>
      <c r="L29" s="188" t="s">
        <v>9</v>
      </c>
      <c r="M29" s="188" t="s">
        <v>47</v>
      </c>
      <c r="N29" s="49" t="str">
        <f>IF(AND('331-CT'!$E$7=TH!H29,OR(L29="331",M29="331")),"331",IF(AND(OR(L29="131",M29="131"),H29='131-CT'!$E$7),"131",""))</f>
        <v/>
      </c>
      <c r="O29" s="49" t="str">
        <f>IF(AND($B29&gt;='111'!$N$11,$B29&lt;='111'!$O$11,OR($L29=$O$7,$M29=$O$7)),"x","")</f>
        <v/>
      </c>
      <c r="P29" s="49" t="str">
        <f>IF(AND($L29=$O$7,$B29&lt;'111'!$N$11),"x","")</f>
        <v/>
      </c>
      <c r="Q29" s="49" t="str">
        <f>IF(AND($M29=$O$7,$B29&lt;'111'!$N$11),"x","")</f>
        <v>x</v>
      </c>
      <c r="R29" s="49" t="str">
        <f>IF(ISERROR(FIND('112'!$M$9,G29,1)),"",IF((AND(FIND('112'!$M$9,G29,1)&gt;=1,$B29&gt;='112'!$N$8,$B29&lt;='112'!$O$8,OR($L29='112'!$I$6,$M29='112'!$I$6))),"x",""))</f>
        <v/>
      </c>
      <c r="S29" s="49" t="str">
        <f>IF(ISERROR(FIND('112'!$M$9,G29,1)),"",IF((AND(LEFT(G29,2)=LEFT('112'!$M$9,2),B29&lt;'112'!$N$8,$L29='112'!$I$6)),"x",""))</f>
        <v/>
      </c>
      <c r="T29" s="49" t="str">
        <f>IF(ISERROR(FIND('112'!$M$9,G29,1)),"",IF((AND(RIGHT(G29,2)=RIGHT('112'!$M$9,2),B29&lt;'112'!$N$8,$M29='112'!$I$6)),"x",""))</f>
        <v/>
      </c>
      <c r="U29" s="49" t="str">
        <f>IF(AND(L29="154",'154'!$O$5&lt;=B29,'154'!$P$5&gt;=B29),"154",IF(AND(L29="632",'632'!$L$5&lt;=B29,'632'!$M$5&gt;=B29),"632",IF(AND(L29="642",'642'!$N$5&lt;=B29,'642'!$O$5&gt;=B29),"642",IF(AND(L29="641",'641'!$N$5&lt;=B29,'641'!$O$5&gt;=B29),"641",""))))</f>
        <v/>
      </c>
      <c r="V29" s="49" t="str">
        <f>IF(OR(TH!L29=TH!$V$7,M29=TH!$V$7),"x","")</f>
        <v>x</v>
      </c>
      <c r="W29" s="49" t="str">
        <f>IF(AND(B29&gt;='IN-NX'!$P$3,B29&lt;='IN-NX'!$Q$3,'IN-NX'!$D$7=D29,OR(LEFT(L29,2)="15",AND(LEFT(M29,2)&lt;&gt;"15",LEFT(M29,2)&lt;&gt;"33"))),"x","")</f>
        <v/>
      </c>
      <c r="X29" s="49" t="str">
        <f>IF(AND(OR(LEFT(TH!L29,2)="15",LEFT(TH!M29,2)="15"),'152-CT'!$J$8=TH!F29),"x","")</f>
        <v/>
      </c>
      <c r="Y29" s="49" t="str">
        <f>IF(AND(OR(LEFT(TH!L29,2)="15",LEFT(TH!M29,2)="15"),TK!$E$7=TH!F29),"x","")</f>
        <v/>
      </c>
      <c r="Z29" s="49" t="str">
        <f>IF(AND(B29&lt;=NKC!$N$8,B29&gt;=NKC!$M$8),"x","")</f>
        <v>x</v>
      </c>
      <c r="AA29" s="723">
        <v>9</v>
      </c>
      <c r="AC29" s="199"/>
      <c r="AD29" s="199"/>
    </row>
    <row r="30" spans="1:30" s="497" customFormat="1" ht="15.75" hidden="1" customHeight="1">
      <c r="A30" s="724" t="str">
        <f>IF(B30&lt;&gt;"",IF(AND(B30&gt;=_TM1,B30&lt;=_TM2,OR(TH!L30="1111",TH!M30="1111")),TH!D30,""),"")</f>
        <v/>
      </c>
      <c r="B30" s="36">
        <f t="shared" si="5"/>
        <v>8</v>
      </c>
      <c r="C30" s="185">
        <f t="shared" si="6"/>
        <v>41142</v>
      </c>
      <c r="D30" s="178" t="s">
        <v>489</v>
      </c>
      <c r="E30" s="178">
        <v>41142</v>
      </c>
      <c r="F30" s="186" t="s">
        <v>387</v>
      </c>
      <c r="G30" s="731" t="s">
        <v>389</v>
      </c>
      <c r="H30" s="187" t="s">
        <v>386</v>
      </c>
      <c r="I30" s="247"/>
      <c r="J30" s="247"/>
      <c r="K30" s="505">
        <v>3400000</v>
      </c>
      <c r="L30" s="188" t="s">
        <v>83</v>
      </c>
      <c r="M30" s="188" t="s">
        <v>47</v>
      </c>
      <c r="N30" s="49" t="str">
        <f>IF(AND('331-CT'!$E$7=TH!H30,OR(L30="331",M30="331")),"331",IF(AND(OR(L30="131",M30="131"),H30='131-CT'!$E$7),"131",""))</f>
        <v/>
      </c>
      <c r="O30" s="49" t="str">
        <f>IF(AND($B30&gt;='111'!$N$11,$B30&lt;='111'!$O$11,OR($L30=$O$7,$M30=$O$7)),"x","")</f>
        <v/>
      </c>
      <c r="P30" s="49" t="str">
        <f>IF(AND($L30=$O$7,$B30&lt;'111'!$N$11),"x","")</f>
        <v/>
      </c>
      <c r="Q30" s="49" t="str">
        <f>IF(AND($M30=$O$7,$B30&lt;'111'!$N$11),"x","")</f>
        <v>x</v>
      </c>
      <c r="R30" s="49" t="str">
        <f>IF(ISERROR(FIND('112'!$M$9,G30,1)),"",IF((AND(FIND('112'!$M$9,G30,1)&gt;=1,$B30&gt;='112'!$N$8,$B30&lt;='112'!$O$8,OR($L30='112'!$I$6,$M30='112'!$I$6))),"x",""))</f>
        <v/>
      </c>
      <c r="S30" s="49" t="str">
        <f>IF(ISERROR(FIND('112'!$M$9,G30,1)),"",IF((AND(LEFT(G30,2)=LEFT('112'!$M$9,2),B30&lt;'112'!$N$8,$L30='112'!$I$6)),"x",""))</f>
        <v/>
      </c>
      <c r="T30" s="49" t="str">
        <f>IF(ISERROR(FIND('112'!$M$9,G30,1)),"",IF((AND(RIGHT(G30,2)=RIGHT('112'!$M$9,2),B30&lt;'112'!$N$8,$M30='112'!$I$6)),"x",""))</f>
        <v/>
      </c>
      <c r="U30" s="49" t="str">
        <f>IF(AND(L30="154",'154'!$O$5&lt;=B30,'154'!$P$5&gt;=B30),"154",IF(AND(L30="632",'632'!$L$5&lt;=B30,'632'!$M$5&gt;=B30),"632",IF(AND(L30="642",'642'!$N$5&lt;=B30,'642'!$O$5&gt;=B30),"642",IF(AND(L30="641",'641'!$N$5&lt;=B30,'641'!$O$5&gt;=B30),"641",""))))</f>
        <v/>
      </c>
      <c r="V30" s="49" t="str">
        <f>IF(OR(TH!L30=TH!$V$7,M30=TH!$V$7),"x","")</f>
        <v/>
      </c>
      <c r="W30" s="49" t="str">
        <f>IF(AND(B30&gt;='IN-NX'!$P$3,B30&lt;='IN-NX'!$Q$3,'IN-NX'!$D$7=D30,OR(LEFT(L30,2)="15",AND(LEFT(M30,2)&lt;&gt;"15",LEFT(M30,2)&lt;&gt;"33"))),"x","")</f>
        <v/>
      </c>
      <c r="X30" s="49" t="str">
        <f>IF(AND(OR(LEFT(TH!L30,2)="15",LEFT(TH!M30,2)="15"),'152-CT'!$J$8=TH!F30),"x","")</f>
        <v/>
      </c>
      <c r="Y30" s="49" t="str">
        <f>IF(AND(OR(LEFT(TH!L30,2)="15",LEFT(TH!M30,2)="15"),TK!$E$7=TH!F30),"x","")</f>
        <v/>
      </c>
      <c r="Z30" s="49" t="str">
        <f>IF(AND(B30&lt;=NKC!$N$8,B30&gt;=NKC!$M$8),"x","")</f>
        <v>x</v>
      </c>
      <c r="AA30" s="723"/>
      <c r="AC30" s="199"/>
      <c r="AD30" s="199"/>
    </row>
    <row r="31" spans="1:30" s="497" customFormat="1" ht="15.75" customHeight="1">
      <c r="A31" s="724" t="str">
        <f>IF(B31&lt;&gt;"",IF(AND(B31&gt;=_TM1,B31&lt;=_TM2,OR(TH!L31="1111",TH!M31="1111")),TH!D31,""),"")</f>
        <v/>
      </c>
      <c r="B31" s="36">
        <f t="shared" si="5"/>
        <v>8</v>
      </c>
      <c r="C31" s="185">
        <f t="shared" si="6"/>
        <v>41142</v>
      </c>
      <c r="D31" s="178" t="s">
        <v>489</v>
      </c>
      <c r="E31" s="178">
        <v>41142</v>
      </c>
      <c r="F31" s="186" t="s">
        <v>388</v>
      </c>
      <c r="G31" s="731" t="s">
        <v>389</v>
      </c>
      <c r="H31" s="187" t="s">
        <v>386</v>
      </c>
      <c r="I31" s="247"/>
      <c r="J31" s="247"/>
      <c r="K31" s="37">
        <v>340000</v>
      </c>
      <c r="L31" s="188" t="s">
        <v>9</v>
      </c>
      <c r="M31" s="188" t="s">
        <v>47</v>
      </c>
      <c r="N31" s="49" t="str">
        <f>IF(AND('331-CT'!$E$7=TH!H31,OR(L31="331",M31="331")),"331",IF(AND(OR(L31="131",M31="131"),H31='131-CT'!$E$7),"131",""))</f>
        <v/>
      </c>
      <c r="O31" s="49" t="str">
        <f>IF(AND($B31&gt;='111'!$N$11,$B31&lt;='111'!$O$11,OR($L31=$O$7,$M31=$O$7)),"x","")</f>
        <v/>
      </c>
      <c r="P31" s="49" t="str">
        <f>IF(AND($L31=$O$7,$B31&lt;'111'!$N$11),"x","")</f>
        <v/>
      </c>
      <c r="Q31" s="49" t="str">
        <f>IF(AND($M31=$O$7,$B31&lt;'111'!$N$11),"x","")</f>
        <v>x</v>
      </c>
      <c r="R31" s="49" t="str">
        <f>IF(ISERROR(FIND('112'!$M$9,G31,1)),"",IF((AND(FIND('112'!$M$9,G31,1)&gt;=1,$B31&gt;='112'!$N$8,$B31&lt;='112'!$O$8,OR($L31='112'!$I$6,$M31='112'!$I$6))),"x",""))</f>
        <v/>
      </c>
      <c r="S31" s="49" t="str">
        <f>IF(ISERROR(FIND('112'!$M$9,G31,1)),"",IF((AND(LEFT(G31,2)=LEFT('112'!$M$9,2),B31&lt;'112'!$N$8,$L31='112'!$I$6)),"x",""))</f>
        <v/>
      </c>
      <c r="T31" s="49" t="str">
        <f>IF(ISERROR(FIND('112'!$M$9,G31,1)),"",IF((AND(RIGHT(G31,2)=RIGHT('112'!$M$9,2),B31&lt;'112'!$N$8,$M31='112'!$I$6)),"x",""))</f>
        <v/>
      </c>
      <c r="U31" s="49" t="str">
        <f>IF(AND(L31="154",'154'!$O$5&lt;=B31,'154'!$P$5&gt;=B31),"154",IF(AND(L31="632",'632'!$L$5&lt;=B31,'632'!$M$5&gt;=B31),"632",IF(AND(L31="642",'642'!$N$5&lt;=B31,'642'!$O$5&gt;=B31),"642",IF(AND(L31="641",'641'!$N$5&lt;=B31,'641'!$O$5&gt;=B31),"641",""))))</f>
        <v/>
      </c>
      <c r="V31" s="49" t="str">
        <f>IF(OR(TH!L31=TH!$V$7,M31=TH!$V$7),"x","")</f>
        <v>x</v>
      </c>
      <c r="W31" s="49" t="str">
        <f>IF(AND(B31&gt;='IN-NX'!$P$3,B31&lt;='IN-NX'!$Q$3,'IN-NX'!$D$7=D31,OR(LEFT(L31,2)="15",AND(LEFT(M31,2)&lt;&gt;"15",LEFT(M31,2)&lt;&gt;"33"))),"x","")</f>
        <v/>
      </c>
      <c r="X31" s="49" t="str">
        <f>IF(AND(OR(LEFT(TH!L31,2)="15",LEFT(TH!M31,2)="15"),'152-CT'!$J$8=TH!F31),"x","")</f>
        <v/>
      </c>
      <c r="Y31" s="49" t="str">
        <f>IF(AND(OR(LEFT(TH!L31,2)="15",LEFT(TH!M31,2)="15"),TK!$E$7=TH!F31),"x","")</f>
        <v/>
      </c>
      <c r="Z31" s="49" t="str">
        <f>IF(AND(B31&lt;=NKC!$N$8,B31&gt;=NKC!$M$8),"x","")</f>
        <v>x</v>
      </c>
      <c r="AA31" s="723">
        <v>9</v>
      </c>
      <c r="AC31" s="199"/>
      <c r="AD31" s="199"/>
    </row>
    <row r="32" spans="1:30" s="497" customFormat="1" ht="15.75" hidden="1" customHeight="1">
      <c r="A32" s="724" t="str">
        <f>IF(B32&lt;&gt;"",IF(AND(B32&gt;=_TM1,B32&lt;=_TM2,OR(TH!L32="1111",TH!M32="1111")),TH!D32,""),"")</f>
        <v/>
      </c>
      <c r="B32" s="36">
        <f t="shared" si="5"/>
        <v>8</v>
      </c>
      <c r="C32" s="185">
        <f t="shared" si="6"/>
        <v>41146</v>
      </c>
      <c r="D32" s="178" t="s">
        <v>485</v>
      </c>
      <c r="E32" s="178">
        <v>41146</v>
      </c>
      <c r="F32" s="183" t="s">
        <v>475</v>
      </c>
      <c r="G32" s="731" t="s">
        <v>374</v>
      </c>
      <c r="H32" s="187"/>
      <c r="I32" s="247"/>
      <c r="J32" s="247"/>
      <c r="K32" s="505">
        <v>11000</v>
      </c>
      <c r="L32" s="506" t="s">
        <v>83</v>
      </c>
      <c r="M32" s="506" t="s">
        <v>24</v>
      </c>
      <c r="N32" s="49" t="str">
        <f>IF(AND('331-CT'!$E$7=TH!H32,OR(L32="331",M32="331")),"331",IF(AND(OR(L32="131",M32="131"),H32='131-CT'!$E$7),"131",""))</f>
        <v/>
      </c>
      <c r="O32" s="49" t="str">
        <f>IF(AND($B32&gt;='111'!$N$11,$B32&lt;='111'!$O$11,OR($L32=$O$7,$M32=$O$7)),"x","")</f>
        <v/>
      </c>
      <c r="P32" s="49" t="str">
        <f>IF(AND($L32=$O$7,$B32&lt;'111'!$N$11),"x","")</f>
        <v/>
      </c>
      <c r="Q32" s="49" t="str">
        <f>IF(AND($M32=$O$7,$B32&lt;'111'!$N$11),"x","")</f>
        <v/>
      </c>
      <c r="R32" s="49" t="str">
        <f>IF(ISERROR(FIND('112'!$M$9,G32,1)),"",IF((AND(FIND('112'!$M$9,G32,1)&gt;=1,$B32&gt;='112'!$N$8,$B32&lt;='112'!$O$8,OR($L32='112'!$I$6,$M32='112'!$I$6))),"x",""))</f>
        <v/>
      </c>
      <c r="S32" s="49" t="str">
        <f>IF(ISERROR(FIND('112'!$M$9,G32,1)),"",IF((AND(LEFT(G32,2)=LEFT('112'!$M$9,2),B32&lt;'112'!$N$8,$L32='112'!$I$6)),"x",""))</f>
        <v/>
      </c>
      <c r="T32" s="49" t="str">
        <f>IF(ISERROR(FIND('112'!$M$9,G32,1)),"",IF((AND(RIGHT(G32,2)=RIGHT('112'!$M$9,2),B32&lt;'112'!$N$8,$M32='112'!$I$6)),"x",""))</f>
        <v>x</v>
      </c>
      <c r="U32" s="49" t="str">
        <f>IF(AND(L32="154",'154'!$O$5&lt;=B32,'154'!$P$5&gt;=B32),"154",IF(AND(L32="632",'632'!$L$5&lt;=B32,'632'!$M$5&gt;=B32),"632",IF(AND(L32="642",'642'!$N$5&lt;=B32,'642'!$O$5&gt;=B32),"642",IF(AND(L32="641",'641'!$N$5&lt;=B32,'641'!$O$5&gt;=B32),"641",""))))</f>
        <v/>
      </c>
      <c r="V32" s="49" t="str">
        <f>IF(OR(TH!L32=TH!$V$7,M32=TH!$V$7),"x","")</f>
        <v/>
      </c>
      <c r="W32" s="49" t="str">
        <f>IF(AND(B32&gt;='IN-NX'!$P$3,B32&lt;='IN-NX'!$Q$3,'IN-NX'!$D$7=D32,OR(LEFT(L32,2)="15",AND(LEFT(M32,2)&lt;&gt;"15",LEFT(M32,2)&lt;&gt;"33"))),"x","")</f>
        <v/>
      </c>
      <c r="X32" s="49" t="str">
        <f>IF(AND(OR(LEFT(TH!L32,2)="15",LEFT(TH!M32,2)="15"),'152-CT'!$J$8=TH!F32),"x","")</f>
        <v/>
      </c>
      <c r="Y32" s="49" t="str">
        <f>IF(AND(OR(LEFT(TH!L32,2)="15",LEFT(TH!M32,2)="15"),TK!$E$7=TH!F32),"x","")</f>
        <v/>
      </c>
      <c r="Z32" s="49" t="str">
        <f>IF(AND(B32&lt;=NKC!$N$8,B32&gt;=NKC!$M$8),"x","")</f>
        <v>x</v>
      </c>
      <c r="AA32" s="723"/>
      <c r="AC32" s="199"/>
    </row>
    <row r="33" spans="1:30" s="497" customFormat="1" ht="15.75" hidden="1" customHeight="1">
      <c r="A33" s="724" t="str">
        <f>IF(B33&lt;&gt;"",IF(AND(B33&gt;=_TM1,B33&lt;=_TM2,OR(TH!L33="1111",TH!M33="1111")),TH!D33,""),"")</f>
        <v/>
      </c>
      <c r="B33" s="36">
        <f t="shared" si="5"/>
        <v>9</v>
      </c>
      <c r="C33" s="185">
        <f t="shared" si="6"/>
        <v>41153</v>
      </c>
      <c r="D33" s="185" t="s">
        <v>498</v>
      </c>
      <c r="E33" s="178">
        <v>41153</v>
      </c>
      <c r="F33" s="183" t="s">
        <v>393</v>
      </c>
      <c r="G33" s="731" t="s">
        <v>391</v>
      </c>
      <c r="H33" s="7" t="s">
        <v>390</v>
      </c>
      <c r="I33" s="247">
        <v>600</v>
      </c>
      <c r="J33" s="247">
        <v>11048</v>
      </c>
      <c r="K33" s="37">
        <f>ROUND(I33*J33,0)</f>
        <v>6628800</v>
      </c>
      <c r="L33" s="188" t="s">
        <v>375</v>
      </c>
      <c r="M33" s="188" t="s">
        <v>8</v>
      </c>
      <c r="N33" s="49" t="str">
        <f>IF(AND('331-CT'!$E$7=TH!H33,OR(L33="331",M33="331")),"331",IF(AND(OR(L33="131",M33="131"),H33='131-CT'!$E$7),"131",""))</f>
        <v>331</v>
      </c>
      <c r="O33" s="49" t="str">
        <f>IF(AND($B33&gt;='111'!$N$11,$B33&lt;='111'!$O$11,OR($L33=$O$7,$M33=$O$7)),"x","")</f>
        <v/>
      </c>
      <c r="P33" s="49" t="str">
        <f>IF(AND($L33=$O$7,$B33&lt;'111'!$N$11),"x","")</f>
        <v/>
      </c>
      <c r="Q33" s="49" t="str">
        <f>IF(AND($M33=$O$7,$B33&lt;'111'!$N$11),"x","")</f>
        <v/>
      </c>
      <c r="R33" s="49" t="str">
        <f>IF(ISERROR(FIND('112'!$M$9,G33,1)),"",IF((AND(FIND('112'!$M$9,G33,1)&gt;=1,$B33&gt;='112'!$N$8,$B33&lt;='112'!$O$8,OR($L33='112'!$I$6,$M33='112'!$I$6))),"x",""))</f>
        <v/>
      </c>
      <c r="S33" s="49" t="str">
        <f>IF(ISERROR(FIND('112'!$M$9,G33,1)),"",IF((AND(LEFT(G33,2)=LEFT('112'!$M$9,2),B33&lt;'112'!$N$8,$L33='112'!$I$6)),"x",""))</f>
        <v/>
      </c>
      <c r="T33" s="49" t="str">
        <f>IF(ISERROR(FIND('112'!$M$9,G33,1)),"",IF((AND(RIGHT(G33,2)=RIGHT('112'!$M$9,2),B33&lt;'112'!$N$8,$M33='112'!$I$6)),"x",""))</f>
        <v/>
      </c>
      <c r="U33" s="49" t="str">
        <f>IF(AND(L33="154",'154'!$O$5&lt;=B33,'154'!$P$5&gt;=B33),"154",IF(AND(L33="632",'632'!$L$5&lt;=B33,'632'!$M$5&gt;=B33),"632",IF(AND(L33="642",'642'!$N$5&lt;=B33,'642'!$O$5&gt;=B33),"642",IF(AND(L33="641",'641'!$N$5&lt;=B33,'641'!$O$5&gt;=B33),"641",""))))</f>
        <v/>
      </c>
      <c r="V33" s="49" t="str">
        <f>IF(OR(TH!L33=TH!$V$7,M33=TH!$V$7),"x","")</f>
        <v/>
      </c>
      <c r="W33" s="49" t="str">
        <f>IF(AND(B33&gt;='IN-NX'!$P$3,B33&lt;='IN-NX'!$Q$3,'IN-NX'!$D$7=D33,OR(LEFT(L33,2)="15",AND(LEFT(M33,2)&lt;&gt;"15",LEFT(M33,2)&lt;&gt;"33"))),"x","")</f>
        <v/>
      </c>
      <c r="X33" s="49" t="str">
        <f>IF(AND(OR(LEFT(TH!L33,2)="15",LEFT(TH!M33,2)="15"),'152-CT'!$J$8=TH!F33),"x","")</f>
        <v/>
      </c>
      <c r="Y33" s="49" t="str">
        <f>IF(AND(OR(LEFT(TH!L33,2)="15",LEFT(TH!M33,2)="15"),TK!$E$7=TH!F33),"x","")</f>
        <v/>
      </c>
      <c r="Z33" s="49" t="str">
        <f>IF(AND(B33&lt;=NKC!$N$8,B33&gt;=NKC!$M$8),"x","")</f>
        <v>x</v>
      </c>
      <c r="AA33" s="723"/>
      <c r="AC33" s="199"/>
      <c r="AD33" s="199"/>
    </row>
    <row r="34" spans="1:30" s="497" customFormat="1" ht="15.75" hidden="1" customHeight="1">
      <c r="A34" s="724" t="str">
        <f>IF(B34&lt;&gt;"",IF(AND(B34&gt;=_TM1,B34&lt;=_TM2,OR(TH!L34="1111",TH!M34="1111")),TH!D34,""),"")</f>
        <v/>
      </c>
      <c r="B34" s="36">
        <f t="shared" si="5"/>
        <v>9</v>
      </c>
      <c r="C34" s="185">
        <f t="shared" si="6"/>
        <v>41153</v>
      </c>
      <c r="D34" s="185" t="s">
        <v>498</v>
      </c>
      <c r="E34" s="178">
        <v>41153</v>
      </c>
      <c r="F34" s="183" t="s">
        <v>394</v>
      </c>
      <c r="G34" s="731" t="s">
        <v>391</v>
      </c>
      <c r="H34" s="7" t="s">
        <v>390</v>
      </c>
      <c r="I34" s="247">
        <v>600</v>
      </c>
      <c r="J34" s="247">
        <v>10844</v>
      </c>
      <c r="K34" s="37">
        <f>ROUND(I34*J34,0)</f>
        <v>6506400</v>
      </c>
      <c r="L34" s="188" t="s">
        <v>375</v>
      </c>
      <c r="M34" s="188" t="s">
        <v>8</v>
      </c>
      <c r="N34" s="49" t="str">
        <f>IF(AND('331-CT'!$E$7=TH!H34,OR(L34="331",M34="331")),"331",IF(AND(OR(L34="131",M34="131"),H34='131-CT'!$E$7),"131",""))</f>
        <v>331</v>
      </c>
      <c r="O34" s="49" t="str">
        <f>IF(AND($B34&gt;='111'!$N$11,$B34&lt;='111'!$O$11,OR($L34=$O$7,$M34=$O$7)),"x","")</f>
        <v/>
      </c>
      <c r="P34" s="49" t="str">
        <f>IF(AND($L34=$O$7,$B34&lt;'111'!$N$11),"x","")</f>
        <v/>
      </c>
      <c r="Q34" s="49" t="str">
        <f>IF(AND($M34=$O$7,$B34&lt;'111'!$N$11),"x","")</f>
        <v/>
      </c>
      <c r="R34" s="49" t="str">
        <f>IF(ISERROR(FIND('112'!$M$9,G34,1)),"",IF((AND(FIND('112'!$M$9,G34,1)&gt;=1,$B34&gt;='112'!$N$8,$B34&lt;='112'!$O$8,OR($L34='112'!$I$6,$M34='112'!$I$6))),"x",""))</f>
        <v/>
      </c>
      <c r="S34" s="49" t="str">
        <f>IF(ISERROR(FIND('112'!$M$9,G34,1)),"",IF((AND(LEFT(G34,2)=LEFT('112'!$M$9,2),B34&lt;'112'!$N$8,$L34='112'!$I$6)),"x",""))</f>
        <v/>
      </c>
      <c r="T34" s="49" t="str">
        <f>IF(ISERROR(FIND('112'!$M$9,G34,1)),"",IF((AND(RIGHT(G34,2)=RIGHT('112'!$M$9,2),B34&lt;'112'!$N$8,$M34='112'!$I$6)),"x",""))</f>
        <v/>
      </c>
      <c r="U34" s="49" t="str">
        <f>IF(AND(L34="154",'154'!$O$5&lt;=B34,'154'!$P$5&gt;=B34),"154",IF(AND(L34="632",'632'!$L$5&lt;=B34,'632'!$M$5&gt;=B34),"632",IF(AND(L34="642",'642'!$N$5&lt;=B34,'642'!$O$5&gt;=B34),"642",IF(AND(L34="641",'641'!$N$5&lt;=B34,'641'!$O$5&gt;=B34),"641",""))))</f>
        <v/>
      </c>
      <c r="V34" s="49" t="str">
        <f>IF(OR(TH!L34=TH!$V$7,M34=TH!$V$7),"x","")</f>
        <v/>
      </c>
      <c r="W34" s="49" t="str">
        <f>IF(AND(B34&gt;='IN-NX'!$P$3,B34&lt;='IN-NX'!$Q$3,'IN-NX'!$D$7=D34,OR(LEFT(L34,2)="15",AND(LEFT(M34,2)&lt;&gt;"15",LEFT(M34,2)&lt;&gt;"33"))),"x","")</f>
        <v/>
      </c>
      <c r="X34" s="49" t="str">
        <f>IF(AND(OR(LEFT(TH!L34,2)="15",LEFT(TH!M34,2)="15"),'152-CT'!$J$8=TH!F34),"x","")</f>
        <v/>
      </c>
      <c r="Y34" s="49" t="str">
        <f>IF(AND(OR(LEFT(TH!L34,2)="15",LEFT(TH!M34,2)="15"),TK!$E$7=TH!F34),"x","")</f>
        <v/>
      </c>
      <c r="Z34" s="49" t="str">
        <f>IF(AND(B34&lt;=NKC!$N$8,B34&gt;=NKC!$M$8),"x","")</f>
        <v>x</v>
      </c>
      <c r="AA34" s="723"/>
      <c r="AC34" s="199"/>
      <c r="AD34" s="199"/>
    </row>
    <row r="35" spans="1:30" s="497" customFormat="1" ht="15.75" customHeight="1">
      <c r="A35" s="724" t="str">
        <f>IF(B35&lt;&gt;"",IF(AND(B35&gt;=_TM1,B35&lt;=_TM2,OR(TH!L35="1111",TH!M35="1111")),TH!D35,""),"")</f>
        <v/>
      </c>
      <c r="B35" s="36">
        <f t="shared" si="5"/>
        <v>9</v>
      </c>
      <c r="C35" s="185">
        <f t="shared" si="6"/>
        <v>41153</v>
      </c>
      <c r="D35" s="185" t="s">
        <v>498</v>
      </c>
      <c r="E35" s="178">
        <v>41153</v>
      </c>
      <c r="F35" s="183" t="s">
        <v>392</v>
      </c>
      <c r="G35" s="731" t="s">
        <v>391</v>
      </c>
      <c r="H35" s="7" t="s">
        <v>390</v>
      </c>
      <c r="I35" s="247"/>
      <c r="J35" s="247"/>
      <c r="K35" s="37">
        <v>1313520</v>
      </c>
      <c r="L35" s="188" t="s">
        <v>9</v>
      </c>
      <c r="M35" s="188" t="s">
        <v>8</v>
      </c>
      <c r="N35" s="49" t="str">
        <f>IF(AND('331-CT'!$E$7=TH!H35,OR(L35="331",M35="331")),"331",IF(AND(OR(L35="131",M35="131"),H35='131-CT'!$E$7),"131",""))</f>
        <v>331</v>
      </c>
      <c r="O35" s="49" t="str">
        <f>IF(AND($B35&gt;='111'!$N$11,$B35&lt;='111'!$O$11,OR($L35=$O$7,$M35=$O$7)),"x","")</f>
        <v/>
      </c>
      <c r="P35" s="49" t="str">
        <f>IF(AND($L35=$O$7,$B35&lt;'111'!$N$11),"x","")</f>
        <v/>
      </c>
      <c r="Q35" s="49" t="str">
        <f>IF(AND($M35=$O$7,$B35&lt;'111'!$N$11),"x","")</f>
        <v/>
      </c>
      <c r="R35" s="49" t="str">
        <f>IF(ISERROR(FIND('112'!$M$9,G35,1)),"",IF((AND(FIND('112'!$M$9,G35,1)&gt;=1,$B35&gt;='112'!$N$8,$B35&lt;='112'!$O$8,OR($L35='112'!$I$6,$M35='112'!$I$6))),"x",""))</f>
        <v/>
      </c>
      <c r="S35" s="49" t="str">
        <f>IF(ISERROR(FIND('112'!$M$9,G35,1)),"",IF((AND(LEFT(G35,2)=LEFT('112'!$M$9,2),B35&lt;'112'!$N$8,$L35='112'!$I$6)),"x",""))</f>
        <v/>
      </c>
      <c r="T35" s="49" t="str">
        <f>IF(ISERROR(FIND('112'!$M$9,G35,1)),"",IF((AND(RIGHT(G35,2)=RIGHT('112'!$M$9,2),B35&lt;'112'!$N$8,$M35='112'!$I$6)),"x",""))</f>
        <v/>
      </c>
      <c r="U35" s="49" t="str">
        <f>IF(AND(L35="154",'154'!$O$5&lt;=B35,'154'!$P$5&gt;=B35),"154",IF(AND(L35="632",'632'!$L$5&lt;=B35,'632'!$M$5&gt;=B35),"632",IF(AND(L35="642",'642'!$N$5&lt;=B35,'642'!$O$5&gt;=B35),"642",IF(AND(L35="641",'641'!$N$5&lt;=B35,'641'!$O$5&gt;=B35),"641",""))))</f>
        <v/>
      </c>
      <c r="V35" s="49" t="str">
        <f>IF(OR(TH!L35=TH!$V$7,M35=TH!$V$7),"x","")</f>
        <v>x</v>
      </c>
      <c r="W35" s="49" t="str">
        <f>IF(AND(B35&gt;='IN-NX'!$P$3,B35&lt;='IN-NX'!$Q$3,'IN-NX'!$D$7=D35,OR(LEFT(L35,2)="15",AND(LEFT(M35,2)&lt;&gt;"15",LEFT(M35,2)&lt;&gt;"33"))),"x","")</f>
        <v/>
      </c>
      <c r="X35" s="49" t="str">
        <f>IF(AND(OR(LEFT(TH!L35,2)="15",LEFT(TH!M35,2)="15"),'152-CT'!$J$8=TH!F35),"x","")</f>
        <v/>
      </c>
      <c r="Y35" s="49" t="str">
        <f>IF(AND(OR(LEFT(TH!L35,2)="15",LEFT(TH!M35,2)="15"),TK!$E$7=TH!F35),"x","")</f>
        <v/>
      </c>
      <c r="Z35" s="49" t="str">
        <f>IF(AND(B35&lt;=NKC!$N$8,B35&gt;=NKC!$M$8),"x","")</f>
        <v>x</v>
      </c>
      <c r="AA35" s="723">
        <v>9</v>
      </c>
      <c r="AC35" s="199"/>
      <c r="AD35" s="199"/>
    </row>
    <row r="36" spans="1:30" s="497" customFormat="1" ht="15.75" hidden="1" customHeight="1">
      <c r="A36" s="724" t="str">
        <f>IF(B36&lt;&gt;"",IF(AND(B36&gt;=_TM1,B36&lt;=_TM2,OR(TH!L36="1111",TH!M36="1111")),TH!D36,""),"")</f>
        <v/>
      </c>
      <c r="B36" s="36">
        <f t="shared" si="5"/>
        <v>9</v>
      </c>
      <c r="C36" s="185">
        <f t="shared" si="6"/>
        <v>41153</v>
      </c>
      <c r="D36" s="178" t="s">
        <v>490</v>
      </c>
      <c r="E36" s="178">
        <v>41153</v>
      </c>
      <c r="F36" s="183" t="s">
        <v>486</v>
      </c>
      <c r="G36" s="731" t="s">
        <v>391</v>
      </c>
      <c r="H36" s="7" t="s">
        <v>390</v>
      </c>
      <c r="I36" s="247"/>
      <c r="J36" s="247"/>
      <c r="K36" s="37">
        <v>14448720</v>
      </c>
      <c r="L36" s="188" t="s">
        <v>8</v>
      </c>
      <c r="M36" s="188" t="s">
        <v>47</v>
      </c>
      <c r="N36" s="49" t="str">
        <f>IF(AND('331-CT'!$E$7=TH!H36,OR(L36="331",M36="331")),"331",IF(AND(OR(L36="131",M36="131"),H36='131-CT'!$E$7),"131",""))</f>
        <v>331</v>
      </c>
      <c r="O36" s="49" t="str">
        <f>IF(AND($B36&gt;='111'!$N$11,$B36&lt;='111'!$O$11,OR($L36=$O$7,$M36=$O$7)),"x","")</f>
        <v/>
      </c>
      <c r="P36" s="49" t="str">
        <f>IF(AND($L36=$O$7,$B36&lt;'111'!$N$11),"x","")</f>
        <v/>
      </c>
      <c r="Q36" s="49" t="str">
        <f>IF(AND($M36=$O$7,$B36&lt;'111'!$N$11),"x","")</f>
        <v>x</v>
      </c>
      <c r="R36" s="49" t="str">
        <f>IF(ISERROR(FIND('112'!$M$9,G36,1)),"",IF((AND(FIND('112'!$M$9,G36,1)&gt;=1,$B36&gt;='112'!$N$8,$B36&lt;='112'!$O$8,OR($L36='112'!$I$6,$M36='112'!$I$6))),"x",""))</f>
        <v/>
      </c>
      <c r="S36" s="49" t="str">
        <f>IF(ISERROR(FIND('112'!$M$9,G36,1)),"",IF((AND(LEFT(G36,2)=LEFT('112'!$M$9,2),B36&lt;'112'!$N$8,$L36='112'!$I$6)),"x",""))</f>
        <v/>
      </c>
      <c r="T36" s="49" t="str">
        <f>IF(ISERROR(FIND('112'!$M$9,G36,1)),"",IF((AND(RIGHT(G36,2)=RIGHT('112'!$M$9,2),B36&lt;'112'!$N$8,$M36='112'!$I$6)),"x",""))</f>
        <v/>
      </c>
      <c r="U36" s="49" t="str">
        <f>IF(AND(L36="154",'154'!$O$5&lt;=B36,'154'!$P$5&gt;=B36),"154",IF(AND(L36="632",'632'!$L$5&lt;=B36,'632'!$M$5&gt;=B36),"632",IF(AND(L36="642",'642'!$N$5&lt;=B36,'642'!$O$5&gt;=B36),"642",IF(AND(L36="641",'641'!$N$5&lt;=B36,'641'!$O$5&gt;=B36),"641",""))))</f>
        <v/>
      </c>
      <c r="V36" s="49" t="str">
        <f>IF(OR(TH!L36=TH!$V$7,M36=TH!$V$7),"x","")</f>
        <v/>
      </c>
      <c r="W36" s="49" t="str">
        <f>IF(AND(B36&gt;='IN-NX'!$P$3,B36&lt;='IN-NX'!$Q$3,'IN-NX'!$D$7=D36,OR(LEFT(L36,2)="15",AND(LEFT(M36,2)&lt;&gt;"15",LEFT(M36,2)&lt;&gt;"33"))),"x","")</f>
        <v/>
      </c>
      <c r="X36" s="49" t="str">
        <f>IF(AND(OR(LEFT(TH!L36,2)="15",LEFT(TH!M36,2)="15"),'152-CT'!$J$8=TH!F36),"x","")</f>
        <v/>
      </c>
      <c r="Y36" s="49" t="str">
        <f>IF(AND(OR(LEFT(TH!L36,2)="15",LEFT(TH!M36,2)="15"),TK!$E$7=TH!F36),"x","")</f>
        <v/>
      </c>
      <c r="Z36" s="49" t="str">
        <f>IF(AND(B36&lt;=NKC!$N$8,B36&gt;=NKC!$M$8),"x","")</f>
        <v>x</v>
      </c>
      <c r="AA36" s="723"/>
      <c r="AC36" s="199"/>
      <c r="AD36" s="199"/>
    </row>
    <row r="37" spans="1:30" s="497" customFormat="1" ht="15.75" hidden="1" customHeight="1">
      <c r="A37" s="724" t="str">
        <f>IF(B37&lt;&gt;"",IF(AND(B37&gt;=_TM1,B37&lt;=_TM2,OR(TH!L37="1111",TH!M37="1111")),TH!D37,""),"")</f>
        <v/>
      </c>
      <c r="B37" s="36">
        <f t="shared" si="5"/>
        <v>9</v>
      </c>
      <c r="C37" s="185">
        <f t="shared" si="6"/>
        <v>41155</v>
      </c>
      <c r="D37" s="185" t="s">
        <v>500</v>
      </c>
      <c r="E37" s="178">
        <v>41155</v>
      </c>
      <c r="F37" s="183" t="s">
        <v>395</v>
      </c>
      <c r="G37" s="731" t="s">
        <v>397</v>
      </c>
      <c r="H37" s="7" t="s">
        <v>390</v>
      </c>
      <c r="I37" s="247">
        <v>500</v>
      </c>
      <c r="J37" s="247">
        <v>10286</v>
      </c>
      <c r="K37" s="37">
        <f>ROUND(I37*J37,0)</f>
        <v>5143000</v>
      </c>
      <c r="L37" s="188" t="s">
        <v>375</v>
      </c>
      <c r="M37" s="188" t="s">
        <v>8</v>
      </c>
      <c r="N37" s="49" t="str">
        <f>IF(AND('331-CT'!$E$7=TH!H37,OR(L37="331",M37="331")),"331",IF(AND(OR(L37="131",M37="131"),H37='131-CT'!$E$7),"131",""))</f>
        <v>331</v>
      </c>
      <c r="O37" s="49" t="str">
        <f>IF(AND($B37&gt;='111'!$N$11,$B37&lt;='111'!$O$11,OR($L37=$O$7,$M37=$O$7)),"x","")</f>
        <v/>
      </c>
      <c r="P37" s="49" t="str">
        <f>IF(AND($L37=$O$7,$B37&lt;'111'!$N$11),"x","")</f>
        <v/>
      </c>
      <c r="Q37" s="49" t="str">
        <f>IF(AND($M37=$O$7,$B37&lt;'111'!$N$11),"x","")</f>
        <v/>
      </c>
      <c r="R37" s="49" t="str">
        <f>IF(ISERROR(FIND('112'!$M$9,G37,1)),"",IF((AND(FIND('112'!$M$9,G37,1)&gt;=1,$B37&gt;='112'!$N$8,$B37&lt;='112'!$O$8,OR($L37='112'!$I$6,$M37='112'!$I$6))),"x",""))</f>
        <v/>
      </c>
      <c r="S37" s="49" t="str">
        <f>IF(ISERROR(FIND('112'!$M$9,G37,1)),"",IF((AND(LEFT(G37,2)=LEFT('112'!$M$9,2),B37&lt;'112'!$N$8,$L37='112'!$I$6)),"x",""))</f>
        <v/>
      </c>
      <c r="T37" s="49" t="str">
        <f>IF(ISERROR(FIND('112'!$M$9,G37,1)),"",IF((AND(RIGHT(G37,2)=RIGHT('112'!$M$9,2),B37&lt;'112'!$N$8,$M37='112'!$I$6)),"x",""))</f>
        <v/>
      </c>
      <c r="U37" s="49" t="str">
        <f>IF(AND(L37="154",'154'!$O$5&lt;=B37,'154'!$P$5&gt;=B37),"154",IF(AND(L37="632",'632'!$L$5&lt;=B37,'632'!$M$5&gt;=B37),"632",IF(AND(L37="642",'642'!$N$5&lt;=B37,'642'!$O$5&gt;=B37),"642",IF(AND(L37="641",'641'!$N$5&lt;=B37,'641'!$O$5&gt;=B37),"641",""))))</f>
        <v/>
      </c>
      <c r="V37" s="49" t="str">
        <f>IF(OR(TH!L37=TH!$V$7,M37=TH!$V$7),"x","")</f>
        <v/>
      </c>
      <c r="W37" s="49" t="str">
        <f>IF(AND(B37&gt;='IN-NX'!$P$3,B37&lt;='IN-NX'!$Q$3,'IN-NX'!$D$7=D37,OR(LEFT(L37,2)="15",AND(LEFT(M37,2)&lt;&gt;"15",LEFT(M37,2)&lt;&gt;"33"))),"x","")</f>
        <v/>
      </c>
      <c r="X37" s="49" t="str">
        <f>IF(AND(OR(LEFT(TH!L37,2)="15",LEFT(TH!M37,2)="15"),'152-CT'!$J$8=TH!F37),"x","")</f>
        <v/>
      </c>
      <c r="Y37" s="49" t="str">
        <f>IF(AND(OR(LEFT(TH!L37,2)="15",LEFT(TH!M37,2)="15"),TK!$E$7=TH!F37),"x","")</f>
        <v/>
      </c>
      <c r="Z37" s="49" t="str">
        <f>IF(AND(B37&lt;=NKC!$N$8,B37&gt;=NKC!$M$8),"x","")</f>
        <v>x</v>
      </c>
      <c r="AA37" s="723"/>
      <c r="AC37" s="199"/>
      <c r="AD37" s="199"/>
    </row>
    <row r="38" spans="1:30" s="497" customFormat="1" ht="15.75" hidden="1" customHeight="1">
      <c r="A38" s="724" t="str">
        <f>IF(B38&lt;&gt;"",IF(AND(B38&gt;=_TM1,B38&lt;=_TM2,OR(TH!L38="1111",TH!M38="1111")),TH!D38,""),"")</f>
        <v/>
      </c>
      <c r="B38" s="36">
        <f t="shared" si="5"/>
        <v>9</v>
      </c>
      <c r="C38" s="185">
        <f t="shared" si="6"/>
        <v>41155</v>
      </c>
      <c r="D38" s="185" t="s">
        <v>500</v>
      </c>
      <c r="E38" s="178">
        <v>41155</v>
      </c>
      <c r="F38" s="183" t="s">
        <v>396</v>
      </c>
      <c r="G38" s="731" t="s">
        <v>397</v>
      </c>
      <c r="H38" s="7" t="s">
        <v>390</v>
      </c>
      <c r="I38" s="247">
        <v>500</v>
      </c>
      <c r="J38" s="247">
        <v>11622</v>
      </c>
      <c r="K38" s="37">
        <f>ROUND(I38*J38,0)</f>
        <v>5811000</v>
      </c>
      <c r="L38" s="188" t="s">
        <v>375</v>
      </c>
      <c r="M38" s="188" t="s">
        <v>8</v>
      </c>
      <c r="N38" s="49" t="str">
        <f>IF(AND('331-CT'!$E$7=TH!H38,OR(L38="331",M38="331")),"331",IF(AND(OR(L38="131",M38="131"),H38='131-CT'!$E$7),"131",""))</f>
        <v>331</v>
      </c>
      <c r="O38" s="49" t="str">
        <f>IF(AND($B38&gt;='111'!$N$11,$B38&lt;='111'!$O$11,OR($L38=$O$7,$M38=$O$7)),"x","")</f>
        <v/>
      </c>
      <c r="P38" s="49" t="str">
        <f>IF(AND($L38=$O$7,$B38&lt;'111'!$N$11),"x","")</f>
        <v/>
      </c>
      <c r="Q38" s="49" t="str">
        <f>IF(AND($M38=$O$7,$B38&lt;'111'!$N$11),"x","")</f>
        <v/>
      </c>
      <c r="R38" s="49" t="str">
        <f>IF(ISERROR(FIND('112'!$M$9,G38,1)),"",IF((AND(FIND('112'!$M$9,G38,1)&gt;=1,$B38&gt;='112'!$N$8,$B38&lt;='112'!$O$8,OR($L38='112'!$I$6,$M38='112'!$I$6))),"x",""))</f>
        <v/>
      </c>
      <c r="S38" s="49" t="str">
        <f>IF(ISERROR(FIND('112'!$M$9,G38,1)),"",IF((AND(LEFT(G38,2)=LEFT('112'!$M$9,2),B38&lt;'112'!$N$8,$L38='112'!$I$6)),"x",""))</f>
        <v/>
      </c>
      <c r="T38" s="49" t="str">
        <f>IF(ISERROR(FIND('112'!$M$9,G38,1)),"",IF((AND(RIGHT(G38,2)=RIGHT('112'!$M$9,2),B38&lt;'112'!$N$8,$M38='112'!$I$6)),"x",""))</f>
        <v/>
      </c>
      <c r="U38" s="49" t="str">
        <f>IF(AND(L38="154",'154'!$O$5&lt;=B38,'154'!$P$5&gt;=B38),"154",IF(AND(L38="632",'632'!$L$5&lt;=B38,'632'!$M$5&gt;=B38),"632",IF(AND(L38="642",'642'!$N$5&lt;=B38,'642'!$O$5&gt;=B38),"642",IF(AND(L38="641",'641'!$N$5&lt;=B38,'641'!$O$5&gt;=B38),"641",""))))</f>
        <v/>
      </c>
      <c r="V38" s="49" t="str">
        <f>IF(OR(TH!L38=TH!$V$7,M38=TH!$V$7),"x","")</f>
        <v/>
      </c>
      <c r="W38" s="49" t="str">
        <f>IF(AND(B38&gt;='IN-NX'!$P$3,B38&lt;='IN-NX'!$Q$3,'IN-NX'!$D$7=D38,OR(LEFT(L38,2)="15",AND(LEFT(M38,2)&lt;&gt;"15",LEFT(M38,2)&lt;&gt;"33"))),"x","")</f>
        <v/>
      </c>
      <c r="X38" s="49" t="str">
        <f>IF(AND(OR(LEFT(TH!L38,2)="15",LEFT(TH!M38,2)="15"),'152-CT'!$J$8=TH!F38),"x","")</f>
        <v/>
      </c>
      <c r="Y38" s="49" t="str">
        <f>IF(AND(OR(LEFT(TH!L38,2)="15",LEFT(TH!M38,2)="15"),TK!$E$7=TH!F38),"x","")</f>
        <v/>
      </c>
      <c r="Z38" s="49" t="str">
        <f>IF(AND(B38&lt;=NKC!$N$8,B38&gt;=NKC!$M$8),"x","")</f>
        <v>x</v>
      </c>
      <c r="AA38" s="723"/>
      <c r="AC38" s="199"/>
      <c r="AD38" s="199"/>
    </row>
    <row r="39" spans="1:30" s="497" customFormat="1" ht="15.75" customHeight="1">
      <c r="A39" s="724" t="str">
        <f>IF(B39&lt;&gt;"",IF(AND(B39&gt;=_TM1,B39&lt;=_TM2,OR(TH!L39="1111",TH!M39="1111")),TH!D39,""),"")</f>
        <v/>
      </c>
      <c r="B39" s="36">
        <f t="shared" si="5"/>
        <v>9</v>
      </c>
      <c r="C39" s="185">
        <f t="shared" si="6"/>
        <v>41155</v>
      </c>
      <c r="D39" s="185" t="s">
        <v>500</v>
      </c>
      <c r="E39" s="178">
        <v>41155</v>
      </c>
      <c r="F39" s="183" t="s">
        <v>392</v>
      </c>
      <c r="G39" s="731" t="s">
        <v>397</v>
      </c>
      <c r="H39" s="7" t="s">
        <v>390</v>
      </c>
      <c r="I39" s="247"/>
      <c r="J39" s="247"/>
      <c r="K39" s="37">
        <v>1095400</v>
      </c>
      <c r="L39" s="188" t="s">
        <v>9</v>
      </c>
      <c r="M39" s="188" t="s">
        <v>8</v>
      </c>
      <c r="N39" s="49" t="str">
        <f>IF(AND('331-CT'!$E$7=TH!H39,OR(L39="331",M39="331")),"331",IF(AND(OR(L39="131",M39="131"),H39='131-CT'!$E$7),"131",""))</f>
        <v>331</v>
      </c>
      <c r="O39" s="49" t="str">
        <f>IF(AND($B39&gt;='111'!$N$11,$B39&lt;='111'!$O$11,OR($L39=$O$7,$M39=$O$7)),"x","")</f>
        <v/>
      </c>
      <c r="P39" s="49" t="str">
        <f>IF(AND($L39=$O$7,$B39&lt;'111'!$N$11),"x","")</f>
        <v/>
      </c>
      <c r="Q39" s="49" t="str">
        <f>IF(AND($M39=$O$7,$B39&lt;'111'!$N$11),"x","")</f>
        <v/>
      </c>
      <c r="R39" s="49" t="str">
        <f>IF(ISERROR(FIND('112'!$M$9,G39,1)),"",IF((AND(FIND('112'!$M$9,G39,1)&gt;=1,$B39&gt;='112'!$N$8,$B39&lt;='112'!$O$8,OR($L39='112'!$I$6,$M39='112'!$I$6))),"x",""))</f>
        <v/>
      </c>
      <c r="S39" s="49" t="str">
        <f>IF(ISERROR(FIND('112'!$M$9,G39,1)),"",IF((AND(LEFT(G39,2)=LEFT('112'!$M$9,2),B39&lt;'112'!$N$8,$L39='112'!$I$6)),"x",""))</f>
        <v/>
      </c>
      <c r="T39" s="49" t="str">
        <f>IF(ISERROR(FIND('112'!$M$9,G39,1)),"",IF((AND(RIGHT(G39,2)=RIGHT('112'!$M$9,2),B39&lt;'112'!$N$8,$M39='112'!$I$6)),"x",""))</f>
        <v/>
      </c>
      <c r="U39" s="49" t="str">
        <f>IF(AND(L39="154",'154'!$O$5&lt;=B39,'154'!$P$5&gt;=B39),"154",IF(AND(L39="632",'632'!$L$5&lt;=B39,'632'!$M$5&gt;=B39),"632",IF(AND(L39="642",'642'!$N$5&lt;=B39,'642'!$O$5&gt;=B39),"642",IF(AND(L39="641",'641'!$N$5&lt;=B39,'641'!$O$5&gt;=B39),"641",""))))</f>
        <v/>
      </c>
      <c r="V39" s="49" t="str">
        <f>IF(OR(TH!L39=TH!$V$7,M39=TH!$V$7),"x","")</f>
        <v>x</v>
      </c>
      <c r="W39" s="49" t="str">
        <f>IF(AND(B39&gt;='IN-NX'!$P$3,B39&lt;='IN-NX'!$Q$3,'IN-NX'!$D$7=D39,OR(LEFT(L39,2)="15",AND(LEFT(M39,2)&lt;&gt;"15",LEFT(M39,2)&lt;&gt;"33"))),"x","")</f>
        <v/>
      </c>
      <c r="X39" s="49" t="str">
        <f>IF(AND(OR(LEFT(TH!L39,2)="15",LEFT(TH!M39,2)="15"),'152-CT'!$J$8=TH!F39),"x","")</f>
        <v/>
      </c>
      <c r="Y39" s="49" t="str">
        <f>IF(AND(OR(LEFT(TH!L39,2)="15",LEFT(TH!M39,2)="15"),TK!$E$7=TH!F39),"x","")</f>
        <v/>
      </c>
      <c r="Z39" s="49" t="str">
        <f>IF(AND(B39&lt;=NKC!$N$8,B39&gt;=NKC!$M$8),"x","")</f>
        <v>x</v>
      </c>
      <c r="AA39" s="723">
        <v>9</v>
      </c>
      <c r="AC39" s="199"/>
      <c r="AD39" s="199"/>
    </row>
    <row r="40" spans="1:30" s="497" customFormat="1" ht="15.75" hidden="1" customHeight="1">
      <c r="A40" s="724" t="str">
        <f>IF(B40&lt;&gt;"",IF(AND(B40&gt;=_TM1,B40&lt;=_TM2,OR(TH!L40="1111",TH!M40="1111")),TH!D40,""),"")</f>
        <v/>
      </c>
      <c r="B40" s="36">
        <f t="shared" si="5"/>
        <v>9</v>
      </c>
      <c r="C40" s="185">
        <f t="shared" si="6"/>
        <v>41155</v>
      </c>
      <c r="D40" s="178" t="s">
        <v>491</v>
      </c>
      <c r="E40" s="178">
        <v>41155</v>
      </c>
      <c r="F40" s="183" t="s">
        <v>486</v>
      </c>
      <c r="G40" s="731" t="s">
        <v>397</v>
      </c>
      <c r="H40" s="7" t="s">
        <v>390</v>
      </c>
      <c r="I40" s="247"/>
      <c r="J40" s="247"/>
      <c r="K40" s="37">
        <v>12049400</v>
      </c>
      <c r="L40" s="188" t="s">
        <v>8</v>
      </c>
      <c r="M40" s="188" t="s">
        <v>47</v>
      </c>
      <c r="N40" s="49" t="str">
        <f>IF(AND('331-CT'!$E$7=TH!H40,OR(L40="331",M40="331")),"331",IF(AND(OR(L40="131",M40="131"),H40='131-CT'!$E$7),"131",""))</f>
        <v>331</v>
      </c>
      <c r="O40" s="49" t="str">
        <f>IF(AND($B40&gt;='111'!$N$11,$B40&lt;='111'!$O$11,OR($L40=$O$7,$M40=$O$7)),"x","")</f>
        <v/>
      </c>
      <c r="P40" s="49" t="str">
        <f>IF(AND($L40=$O$7,$B40&lt;'111'!$N$11),"x","")</f>
        <v/>
      </c>
      <c r="Q40" s="49" t="str">
        <f>IF(AND($M40=$O$7,$B40&lt;'111'!$N$11),"x","")</f>
        <v>x</v>
      </c>
      <c r="R40" s="49" t="str">
        <f>IF(ISERROR(FIND('112'!$M$9,G40,1)),"",IF((AND(FIND('112'!$M$9,G40,1)&gt;=1,$B40&gt;='112'!$N$8,$B40&lt;='112'!$O$8,OR($L40='112'!$I$6,$M40='112'!$I$6))),"x",""))</f>
        <v/>
      </c>
      <c r="S40" s="49" t="str">
        <f>IF(ISERROR(FIND('112'!$M$9,G40,1)),"",IF((AND(LEFT(G40,2)=LEFT('112'!$M$9,2),B40&lt;'112'!$N$8,$L40='112'!$I$6)),"x",""))</f>
        <v/>
      </c>
      <c r="T40" s="49" t="str">
        <f>IF(ISERROR(FIND('112'!$M$9,G40,1)),"",IF((AND(RIGHT(G40,2)=RIGHT('112'!$M$9,2),B40&lt;'112'!$N$8,$M40='112'!$I$6)),"x",""))</f>
        <v/>
      </c>
      <c r="U40" s="49" t="str">
        <f>IF(AND(L40="154",'154'!$O$5&lt;=B40,'154'!$P$5&gt;=B40),"154",IF(AND(L40="632",'632'!$L$5&lt;=B40,'632'!$M$5&gt;=B40),"632",IF(AND(L40="642",'642'!$N$5&lt;=B40,'642'!$O$5&gt;=B40),"642",IF(AND(L40="641",'641'!$N$5&lt;=B40,'641'!$O$5&gt;=B40),"641",""))))</f>
        <v/>
      </c>
      <c r="V40" s="49" t="str">
        <f>IF(OR(TH!L40=TH!$V$7,M40=TH!$V$7),"x","")</f>
        <v/>
      </c>
      <c r="W40" s="49" t="str">
        <f>IF(AND(B40&gt;='IN-NX'!$P$3,B40&lt;='IN-NX'!$Q$3,'IN-NX'!$D$7=D40,OR(LEFT(L40,2)="15",AND(LEFT(M40,2)&lt;&gt;"15",LEFT(M40,2)&lt;&gt;"33"))),"x","")</f>
        <v/>
      </c>
      <c r="X40" s="49" t="str">
        <f>IF(AND(OR(LEFT(TH!L40,2)="15",LEFT(TH!M40,2)="15"),'152-CT'!$J$8=TH!F40),"x","")</f>
        <v/>
      </c>
      <c r="Y40" s="49" t="str">
        <f>IF(AND(OR(LEFT(TH!L40,2)="15",LEFT(TH!M40,2)="15"),TK!$E$7=TH!F40),"x","")</f>
        <v/>
      </c>
      <c r="Z40" s="49" t="str">
        <f>IF(AND(B40&lt;=NKC!$N$8,B40&gt;=NKC!$M$8),"x","")</f>
        <v>x</v>
      </c>
      <c r="AA40" s="723"/>
      <c r="AC40" s="199"/>
      <c r="AD40" s="199"/>
    </row>
    <row r="41" spans="1:30" s="497" customFormat="1" ht="15.75" hidden="1" customHeight="1">
      <c r="A41" s="724" t="str">
        <f>IF(B41&lt;&gt;"",IF(AND(B41&gt;=_TM1,B41&lt;=_TM2,OR(TH!L41="1111",TH!M41="1111")),TH!D41,""),"")</f>
        <v/>
      </c>
      <c r="B41" s="36">
        <f t="shared" si="5"/>
        <v>9</v>
      </c>
      <c r="C41" s="185">
        <f t="shared" si="6"/>
        <v>41156</v>
      </c>
      <c r="D41" s="185" t="s">
        <v>501</v>
      </c>
      <c r="E41" s="178">
        <v>41156</v>
      </c>
      <c r="F41" s="183" t="s">
        <v>399</v>
      </c>
      <c r="G41" s="731" t="s">
        <v>398</v>
      </c>
      <c r="H41" s="7" t="s">
        <v>390</v>
      </c>
      <c r="I41" s="247">
        <v>550</v>
      </c>
      <c r="J41" s="247">
        <v>10298</v>
      </c>
      <c r="K41" s="37">
        <f>ROUND(I41*J41,0)</f>
        <v>5663900</v>
      </c>
      <c r="L41" s="188" t="s">
        <v>375</v>
      </c>
      <c r="M41" s="188" t="s">
        <v>8</v>
      </c>
      <c r="N41" s="49" t="str">
        <f>IF(AND('331-CT'!$E$7=TH!H41,OR(L41="331",M41="331")),"331",IF(AND(OR(L41="131",M41="131"),H41='131-CT'!$E$7),"131",""))</f>
        <v>331</v>
      </c>
      <c r="O41" s="49" t="str">
        <f>IF(AND($B41&gt;='111'!$N$11,$B41&lt;='111'!$O$11,OR($L41=$O$7,$M41=$O$7)),"x","")</f>
        <v/>
      </c>
      <c r="P41" s="49" t="str">
        <f>IF(AND($L41=$O$7,$B41&lt;'111'!$N$11),"x","")</f>
        <v/>
      </c>
      <c r="Q41" s="49" t="str">
        <f>IF(AND($M41=$O$7,$B41&lt;'111'!$N$11),"x","")</f>
        <v/>
      </c>
      <c r="R41" s="49" t="str">
        <f>IF(ISERROR(FIND('112'!$M$9,G41,1)),"",IF((AND(FIND('112'!$M$9,G41,1)&gt;=1,$B41&gt;='112'!$N$8,$B41&lt;='112'!$O$8,OR($L41='112'!$I$6,$M41='112'!$I$6))),"x",""))</f>
        <v/>
      </c>
      <c r="S41" s="49" t="str">
        <f>IF(ISERROR(FIND('112'!$M$9,G41,1)),"",IF((AND(LEFT(G41,2)=LEFT('112'!$M$9,2),B41&lt;'112'!$N$8,$L41='112'!$I$6)),"x",""))</f>
        <v/>
      </c>
      <c r="T41" s="49" t="str">
        <f>IF(ISERROR(FIND('112'!$M$9,G41,1)),"",IF((AND(RIGHT(G41,2)=RIGHT('112'!$M$9,2),B41&lt;'112'!$N$8,$M41='112'!$I$6)),"x",""))</f>
        <v/>
      </c>
      <c r="U41" s="49" t="str">
        <f>IF(AND(L41="154",'154'!$O$5&lt;=B41,'154'!$P$5&gt;=B41),"154",IF(AND(L41="632",'632'!$L$5&lt;=B41,'632'!$M$5&gt;=B41),"632",IF(AND(L41="642",'642'!$N$5&lt;=B41,'642'!$O$5&gt;=B41),"642",IF(AND(L41="641",'641'!$N$5&lt;=B41,'641'!$O$5&gt;=B41),"641",""))))</f>
        <v/>
      </c>
      <c r="V41" s="49" t="str">
        <f>IF(OR(TH!L41=TH!$V$7,M41=TH!$V$7),"x","")</f>
        <v/>
      </c>
      <c r="W41" s="49" t="str">
        <f>IF(AND(B41&gt;='IN-NX'!$P$3,B41&lt;='IN-NX'!$Q$3,'IN-NX'!$D$7=D41,OR(LEFT(L41,2)="15",AND(LEFT(M41,2)&lt;&gt;"15",LEFT(M41,2)&lt;&gt;"33"))),"x","")</f>
        <v/>
      </c>
      <c r="X41" s="49" t="str">
        <f>IF(AND(OR(LEFT(TH!L41,2)="15",LEFT(TH!M41,2)="15"),'152-CT'!$J$8=TH!F41),"x","")</f>
        <v/>
      </c>
      <c r="Y41" s="49" t="str">
        <f>IF(AND(OR(LEFT(TH!L41,2)="15",LEFT(TH!M41,2)="15"),TK!$E$7=TH!F41),"x","")</f>
        <v/>
      </c>
      <c r="Z41" s="49" t="str">
        <f>IF(AND(B41&lt;=NKC!$N$8,B41&gt;=NKC!$M$8),"x","")</f>
        <v>x</v>
      </c>
      <c r="AA41" s="723"/>
      <c r="AC41" s="199"/>
      <c r="AD41" s="199"/>
    </row>
    <row r="42" spans="1:30" s="497" customFormat="1" ht="15.75" hidden="1" customHeight="1">
      <c r="A42" s="724" t="str">
        <f>IF(B42&lt;&gt;"",IF(AND(B42&gt;=_TM1,B42&lt;=_TM2,OR(TH!L42="1111",TH!M42="1111")),TH!D42,""),"")</f>
        <v/>
      </c>
      <c r="B42" s="36">
        <f t="shared" si="5"/>
        <v>9</v>
      </c>
      <c r="C42" s="185">
        <f t="shared" si="6"/>
        <v>41156</v>
      </c>
      <c r="D42" s="185" t="s">
        <v>501</v>
      </c>
      <c r="E42" s="178">
        <v>41156</v>
      </c>
      <c r="F42" s="183" t="s">
        <v>400</v>
      </c>
      <c r="G42" s="731" t="s">
        <v>398</v>
      </c>
      <c r="H42" s="7" t="s">
        <v>390</v>
      </c>
      <c r="I42" s="247">
        <v>660</v>
      </c>
      <c r="J42" s="247">
        <v>12946</v>
      </c>
      <c r="K42" s="37">
        <f>ROUND(I42*J42,0)</f>
        <v>8544360</v>
      </c>
      <c r="L42" s="188" t="s">
        <v>375</v>
      </c>
      <c r="M42" s="188" t="s">
        <v>8</v>
      </c>
      <c r="N42" s="49" t="str">
        <f>IF(AND('331-CT'!$E$7=TH!H42,OR(L42="331",M42="331")),"331",IF(AND(OR(L42="131",M42="131"),H42='131-CT'!$E$7),"131",""))</f>
        <v>331</v>
      </c>
      <c r="O42" s="49" t="str">
        <f>IF(AND($B42&gt;='111'!$N$11,$B42&lt;='111'!$O$11,OR($L42=$O$7,$M42=$O$7)),"x","")</f>
        <v/>
      </c>
      <c r="P42" s="49" t="str">
        <f>IF(AND($L42=$O$7,$B42&lt;'111'!$N$11),"x","")</f>
        <v/>
      </c>
      <c r="Q42" s="49" t="str">
        <f>IF(AND($M42=$O$7,$B42&lt;'111'!$N$11),"x","")</f>
        <v/>
      </c>
      <c r="R42" s="49" t="str">
        <f>IF(ISERROR(FIND('112'!$M$9,G42,1)),"",IF((AND(FIND('112'!$M$9,G42,1)&gt;=1,$B42&gt;='112'!$N$8,$B42&lt;='112'!$O$8,OR($L42='112'!$I$6,$M42='112'!$I$6))),"x",""))</f>
        <v/>
      </c>
      <c r="S42" s="49" t="str">
        <f>IF(ISERROR(FIND('112'!$M$9,G42,1)),"",IF((AND(LEFT(G42,2)=LEFT('112'!$M$9,2),B42&lt;'112'!$N$8,$L42='112'!$I$6)),"x",""))</f>
        <v/>
      </c>
      <c r="T42" s="49" t="str">
        <f>IF(ISERROR(FIND('112'!$M$9,G42,1)),"",IF((AND(RIGHT(G42,2)=RIGHT('112'!$M$9,2),B42&lt;'112'!$N$8,$M42='112'!$I$6)),"x",""))</f>
        <v/>
      </c>
      <c r="U42" s="49" t="str">
        <f>IF(AND(L42="154",'154'!$O$5&lt;=B42,'154'!$P$5&gt;=B42),"154",IF(AND(L42="632",'632'!$L$5&lt;=B42,'632'!$M$5&gt;=B42),"632",IF(AND(L42="642",'642'!$N$5&lt;=B42,'642'!$O$5&gt;=B42),"642",IF(AND(L42="641",'641'!$N$5&lt;=B42,'641'!$O$5&gt;=B42),"641",""))))</f>
        <v/>
      </c>
      <c r="V42" s="49" t="str">
        <f>IF(OR(TH!L42=TH!$V$7,M42=TH!$V$7),"x","")</f>
        <v/>
      </c>
      <c r="W42" s="49" t="str">
        <f>IF(AND(B42&gt;='IN-NX'!$P$3,B42&lt;='IN-NX'!$Q$3,'IN-NX'!$D$7=D42,OR(LEFT(L42,2)="15",AND(LEFT(M42,2)&lt;&gt;"15",LEFT(M42,2)&lt;&gt;"33"))),"x","")</f>
        <v/>
      </c>
      <c r="X42" s="49" t="str">
        <f>IF(AND(OR(LEFT(TH!L42,2)="15",LEFT(TH!M42,2)="15"),'152-CT'!$J$8=TH!F42),"x","")</f>
        <v/>
      </c>
      <c r="Y42" s="49" t="str">
        <f>IF(AND(OR(LEFT(TH!L42,2)="15",LEFT(TH!M42,2)="15"),TK!$E$7=TH!F42),"x","")</f>
        <v/>
      </c>
      <c r="Z42" s="49" t="str">
        <f>IF(AND(B42&lt;=NKC!$N$8,B42&gt;=NKC!$M$8),"x","")</f>
        <v>x</v>
      </c>
      <c r="AA42" s="723"/>
      <c r="AC42" s="199"/>
      <c r="AD42" s="199"/>
    </row>
    <row r="43" spans="1:30" s="497" customFormat="1" ht="15.75" customHeight="1">
      <c r="A43" s="724" t="str">
        <f>IF(B43&lt;&gt;"",IF(AND(B43&gt;=_TM1,B43&lt;=_TM2,OR(TH!L43="1111",TH!M43="1111")),TH!D43,""),"")</f>
        <v/>
      </c>
      <c r="B43" s="36">
        <f t="shared" si="5"/>
        <v>9</v>
      </c>
      <c r="C43" s="185">
        <f t="shared" si="6"/>
        <v>41156</v>
      </c>
      <c r="D43" s="185" t="s">
        <v>501</v>
      </c>
      <c r="E43" s="178">
        <v>41156</v>
      </c>
      <c r="F43" s="183" t="s">
        <v>392</v>
      </c>
      <c r="G43" s="731" t="s">
        <v>398</v>
      </c>
      <c r="H43" s="7" t="s">
        <v>390</v>
      </c>
      <c r="I43" s="247"/>
      <c r="J43" s="247"/>
      <c r="K43" s="37">
        <v>1420826</v>
      </c>
      <c r="L43" s="188" t="s">
        <v>9</v>
      </c>
      <c r="M43" s="188" t="s">
        <v>8</v>
      </c>
      <c r="N43" s="49" t="str">
        <f>IF(AND('331-CT'!$E$7=TH!H43,OR(L43="331",M43="331")),"331",IF(AND(OR(L43="131",M43="131"),H43='131-CT'!$E$7),"131",""))</f>
        <v>331</v>
      </c>
      <c r="O43" s="49" t="str">
        <f>IF(AND($B43&gt;='111'!$N$11,$B43&lt;='111'!$O$11,OR($L43=$O$7,$M43=$O$7)),"x","")</f>
        <v/>
      </c>
      <c r="P43" s="49" t="str">
        <f>IF(AND($L43=$O$7,$B43&lt;'111'!$N$11),"x","")</f>
        <v/>
      </c>
      <c r="Q43" s="49" t="str">
        <f>IF(AND($M43=$O$7,$B43&lt;'111'!$N$11),"x","")</f>
        <v/>
      </c>
      <c r="R43" s="49" t="str">
        <f>IF(ISERROR(FIND('112'!$M$9,G43,1)),"",IF((AND(FIND('112'!$M$9,G43,1)&gt;=1,$B43&gt;='112'!$N$8,$B43&lt;='112'!$O$8,OR($L43='112'!$I$6,$M43='112'!$I$6))),"x",""))</f>
        <v/>
      </c>
      <c r="S43" s="49" t="str">
        <f>IF(ISERROR(FIND('112'!$M$9,G43,1)),"",IF((AND(LEFT(G43,2)=LEFT('112'!$M$9,2),B43&lt;'112'!$N$8,$L43='112'!$I$6)),"x",""))</f>
        <v/>
      </c>
      <c r="T43" s="49" t="str">
        <f>IF(ISERROR(FIND('112'!$M$9,G43,1)),"",IF((AND(RIGHT(G43,2)=RIGHT('112'!$M$9,2),B43&lt;'112'!$N$8,$M43='112'!$I$6)),"x",""))</f>
        <v/>
      </c>
      <c r="U43" s="49" t="str">
        <f>IF(AND(L43="154",'154'!$O$5&lt;=B43,'154'!$P$5&gt;=B43),"154",IF(AND(L43="632",'632'!$L$5&lt;=B43,'632'!$M$5&gt;=B43),"632",IF(AND(L43="642",'642'!$N$5&lt;=B43,'642'!$O$5&gt;=B43),"642",IF(AND(L43="641",'641'!$N$5&lt;=B43,'641'!$O$5&gt;=B43),"641",""))))</f>
        <v/>
      </c>
      <c r="V43" s="49" t="str">
        <f>IF(OR(TH!L43=TH!$V$7,M43=TH!$V$7),"x","")</f>
        <v>x</v>
      </c>
      <c r="W43" s="49" t="str">
        <f>IF(AND(B43&gt;='IN-NX'!$P$3,B43&lt;='IN-NX'!$Q$3,'IN-NX'!$D$7=D43,OR(LEFT(L43,2)="15",AND(LEFT(M43,2)&lt;&gt;"15",LEFT(M43,2)&lt;&gt;"33"))),"x","")</f>
        <v/>
      </c>
      <c r="X43" s="49" t="str">
        <f>IF(AND(OR(LEFT(TH!L43,2)="15",LEFT(TH!M43,2)="15"),'152-CT'!$J$8=TH!F43),"x","")</f>
        <v/>
      </c>
      <c r="Y43" s="49" t="str">
        <f>IF(AND(OR(LEFT(TH!L43,2)="15",LEFT(TH!M43,2)="15"),TK!$E$7=TH!F43),"x","")</f>
        <v/>
      </c>
      <c r="Z43" s="49" t="str">
        <f>IF(AND(B43&lt;=NKC!$N$8,B43&gt;=NKC!$M$8),"x","")</f>
        <v>x</v>
      </c>
      <c r="AA43" s="723">
        <v>9</v>
      </c>
      <c r="AC43" s="199"/>
      <c r="AD43" s="199"/>
    </row>
    <row r="44" spans="1:30" s="497" customFormat="1" ht="15.75" hidden="1" customHeight="1">
      <c r="A44" s="724" t="str">
        <f>IF(B44&lt;&gt;"",IF(AND(B44&gt;=_TM1,B44&lt;=_TM2,OR(TH!L44="1111",TH!M44="1111")),TH!D44,""),"")</f>
        <v/>
      </c>
      <c r="B44" s="36">
        <f t="shared" si="5"/>
        <v>9</v>
      </c>
      <c r="C44" s="185">
        <f t="shared" si="6"/>
        <v>41156</v>
      </c>
      <c r="D44" s="178" t="s">
        <v>492</v>
      </c>
      <c r="E44" s="178">
        <v>41156</v>
      </c>
      <c r="F44" s="183" t="s">
        <v>486</v>
      </c>
      <c r="G44" s="731" t="s">
        <v>398</v>
      </c>
      <c r="H44" s="7" t="s">
        <v>390</v>
      </c>
      <c r="I44" s="247"/>
      <c r="J44" s="247"/>
      <c r="K44" s="37">
        <v>15629086</v>
      </c>
      <c r="L44" s="188" t="s">
        <v>8</v>
      </c>
      <c r="M44" s="188" t="s">
        <v>47</v>
      </c>
      <c r="N44" s="49" t="str">
        <f>IF(AND('331-CT'!$E$7=TH!H44,OR(L44="331",M44="331")),"331",IF(AND(OR(L44="131",M44="131"),H44='131-CT'!$E$7),"131",""))</f>
        <v>331</v>
      </c>
      <c r="O44" s="49" t="str">
        <f>IF(AND($B44&gt;='111'!$N$11,$B44&lt;='111'!$O$11,OR($L44=$O$7,$M44=$O$7)),"x","")</f>
        <v/>
      </c>
      <c r="P44" s="49" t="str">
        <f>IF(AND($L44=$O$7,$B44&lt;'111'!$N$11),"x","")</f>
        <v/>
      </c>
      <c r="Q44" s="49" t="str">
        <f>IF(AND($M44=$O$7,$B44&lt;'111'!$N$11),"x","")</f>
        <v>x</v>
      </c>
      <c r="R44" s="49" t="str">
        <f>IF(ISERROR(FIND('112'!$M$9,G44,1)),"",IF((AND(FIND('112'!$M$9,G44,1)&gt;=1,$B44&gt;='112'!$N$8,$B44&lt;='112'!$O$8,OR($L44='112'!$I$6,$M44='112'!$I$6))),"x",""))</f>
        <v/>
      </c>
      <c r="S44" s="49" t="str">
        <f>IF(ISERROR(FIND('112'!$M$9,G44,1)),"",IF((AND(LEFT(G44,2)=LEFT('112'!$M$9,2),B44&lt;'112'!$N$8,$L44='112'!$I$6)),"x",""))</f>
        <v/>
      </c>
      <c r="T44" s="49" t="str">
        <f>IF(ISERROR(FIND('112'!$M$9,G44,1)),"",IF((AND(RIGHT(G44,2)=RIGHT('112'!$M$9,2),B44&lt;'112'!$N$8,$M44='112'!$I$6)),"x",""))</f>
        <v/>
      </c>
      <c r="U44" s="49" t="str">
        <f>IF(AND(L44="154",'154'!$O$5&lt;=B44,'154'!$P$5&gt;=B44),"154",IF(AND(L44="632",'632'!$L$5&lt;=B44,'632'!$M$5&gt;=B44),"632",IF(AND(L44="642",'642'!$N$5&lt;=B44,'642'!$O$5&gt;=B44),"642",IF(AND(L44="641",'641'!$N$5&lt;=B44,'641'!$O$5&gt;=B44),"641",""))))</f>
        <v/>
      </c>
      <c r="V44" s="49" t="str">
        <f>IF(OR(TH!L44=TH!$V$7,M44=TH!$V$7),"x","")</f>
        <v/>
      </c>
      <c r="W44" s="49" t="str">
        <f>IF(AND(B44&gt;='IN-NX'!$P$3,B44&lt;='IN-NX'!$Q$3,'IN-NX'!$D$7=D44,OR(LEFT(L44,2)="15",AND(LEFT(M44,2)&lt;&gt;"15",LEFT(M44,2)&lt;&gt;"33"))),"x","")</f>
        <v/>
      </c>
      <c r="X44" s="49" t="str">
        <f>IF(AND(OR(LEFT(TH!L44,2)="15",LEFT(TH!M44,2)="15"),'152-CT'!$J$8=TH!F44),"x","")</f>
        <v/>
      </c>
      <c r="Y44" s="49" t="str">
        <f>IF(AND(OR(LEFT(TH!L44,2)="15",LEFT(TH!M44,2)="15"),TK!$E$7=TH!F44),"x","")</f>
        <v/>
      </c>
      <c r="Z44" s="49" t="str">
        <f>IF(AND(B44&lt;=NKC!$N$8,B44&gt;=NKC!$M$8),"x","")</f>
        <v>x</v>
      </c>
      <c r="AA44" s="723"/>
      <c r="AC44" s="199"/>
      <c r="AD44" s="199"/>
    </row>
    <row r="45" spans="1:30" s="497" customFormat="1" ht="15.75" hidden="1" customHeight="1">
      <c r="A45" s="724" t="str">
        <f>IF(B45&lt;&gt;"",IF(AND(B45&gt;=_TM1,B45&lt;=_TM2,OR(TH!L45="1111",TH!M45="1111")),TH!D45,""),"")</f>
        <v/>
      </c>
      <c r="B45" s="36">
        <f t="shared" si="5"/>
        <v>9</v>
      </c>
      <c r="C45" s="185">
        <f t="shared" si="6"/>
        <v>41160</v>
      </c>
      <c r="D45" s="185" t="s">
        <v>502</v>
      </c>
      <c r="E45" s="178">
        <v>41160</v>
      </c>
      <c r="F45" s="183" t="s">
        <v>400</v>
      </c>
      <c r="G45" s="731" t="s">
        <v>401</v>
      </c>
      <c r="H45" s="7" t="s">
        <v>390</v>
      </c>
      <c r="I45" s="247">
        <v>600</v>
      </c>
      <c r="J45" s="247">
        <v>8556</v>
      </c>
      <c r="K45" s="37">
        <f>ROUND(I45*J45,0)</f>
        <v>5133600</v>
      </c>
      <c r="L45" s="188" t="s">
        <v>375</v>
      </c>
      <c r="M45" s="188" t="s">
        <v>8</v>
      </c>
      <c r="N45" s="49" t="str">
        <f>IF(AND('331-CT'!$E$7=TH!H45,OR(L45="331",M45="331")),"331",IF(AND(OR(L45="131",M45="131"),H45='131-CT'!$E$7),"131",""))</f>
        <v>331</v>
      </c>
      <c r="O45" s="49" t="str">
        <f>IF(AND($B45&gt;='111'!$N$11,$B45&lt;='111'!$O$11,OR($L45=$O$7,$M45=$O$7)),"x","")</f>
        <v/>
      </c>
      <c r="P45" s="49" t="str">
        <f>IF(AND($L45=$O$7,$B45&lt;'111'!$N$11),"x","")</f>
        <v/>
      </c>
      <c r="Q45" s="49" t="str">
        <f>IF(AND($M45=$O$7,$B45&lt;'111'!$N$11),"x","")</f>
        <v/>
      </c>
      <c r="R45" s="49" t="str">
        <f>IF(ISERROR(FIND('112'!$M$9,G45,1)),"",IF((AND(FIND('112'!$M$9,G45,1)&gt;=1,$B45&gt;='112'!$N$8,$B45&lt;='112'!$O$8,OR($L45='112'!$I$6,$M45='112'!$I$6))),"x",""))</f>
        <v/>
      </c>
      <c r="S45" s="49" t="str">
        <f>IF(ISERROR(FIND('112'!$M$9,G45,1)),"",IF((AND(LEFT(G45,2)=LEFT('112'!$M$9,2),B45&lt;'112'!$N$8,$L45='112'!$I$6)),"x",""))</f>
        <v/>
      </c>
      <c r="T45" s="49" t="str">
        <f>IF(ISERROR(FIND('112'!$M$9,G45,1)),"",IF((AND(RIGHT(G45,2)=RIGHT('112'!$M$9,2),B45&lt;'112'!$N$8,$M45='112'!$I$6)),"x",""))</f>
        <v/>
      </c>
      <c r="U45" s="49" t="str">
        <f>IF(AND(L45="154",'154'!$O$5&lt;=B45,'154'!$P$5&gt;=B45),"154",IF(AND(L45="632",'632'!$L$5&lt;=B45,'632'!$M$5&gt;=B45),"632",IF(AND(L45="642",'642'!$N$5&lt;=B45,'642'!$O$5&gt;=B45),"642",IF(AND(L45="641",'641'!$N$5&lt;=B45,'641'!$O$5&gt;=B45),"641",""))))</f>
        <v/>
      </c>
      <c r="V45" s="49" t="str">
        <f>IF(OR(TH!L45=TH!$V$7,M45=TH!$V$7),"x","")</f>
        <v/>
      </c>
      <c r="W45" s="49" t="str">
        <f>IF(AND(B45&gt;='IN-NX'!$P$3,B45&lt;='IN-NX'!$Q$3,'IN-NX'!$D$7=D45,OR(LEFT(L45,2)="15",AND(LEFT(M45,2)&lt;&gt;"15",LEFT(M45,2)&lt;&gt;"33"))),"x","")</f>
        <v/>
      </c>
      <c r="X45" s="49" t="str">
        <f>IF(AND(OR(LEFT(TH!L45,2)="15",LEFT(TH!M45,2)="15"),'152-CT'!$J$8=TH!F45),"x","")</f>
        <v/>
      </c>
      <c r="Y45" s="49" t="str">
        <f>IF(AND(OR(LEFT(TH!L45,2)="15",LEFT(TH!M45,2)="15"),TK!$E$7=TH!F45),"x","")</f>
        <v/>
      </c>
      <c r="Z45" s="49" t="str">
        <f>IF(AND(B45&lt;=NKC!$N$8,B45&gt;=NKC!$M$8),"x","")</f>
        <v>x</v>
      </c>
      <c r="AA45" s="723"/>
      <c r="AC45" s="199"/>
      <c r="AD45" s="199"/>
    </row>
    <row r="46" spans="1:30" s="497" customFormat="1" ht="15.75" customHeight="1">
      <c r="A46" s="724" t="str">
        <f>IF(B46&lt;&gt;"",IF(AND(B46&gt;=_TM1,B46&lt;=_TM2,OR(TH!L46="1111",TH!M46="1111")),TH!D46,""),"")</f>
        <v/>
      </c>
      <c r="B46" s="36">
        <f t="shared" si="5"/>
        <v>9</v>
      </c>
      <c r="C46" s="185">
        <f t="shared" si="6"/>
        <v>41160</v>
      </c>
      <c r="D46" s="185" t="s">
        <v>502</v>
      </c>
      <c r="E46" s="178">
        <v>41160</v>
      </c>
      <c r="F46" s="183" t="s">
        <v>392</v>
      </c>
      <c r="G46" s="731" t="s">
        <v>401</v>
      </c>
      <c r="H46" s="7" t="s">
        <v>390</v>
      </c>
      <c r="I46" s="247"/>
      <c r="J46" s="247"/>
      <c r="K46" s="37">
        <v>513360</v>
      </c>
      <c r="L46" s="188" t="s">
        <v>9</v>
      </c>
      <c r="M46" s="188" t="s">
        <v>8</v>
      </c>
      <c r="N46" s="49" t="str">
        <f>IF(AND('331-CT'!$E$7=TH!H46,OR(L46="331",M46="331")),"331",IF(AND(OR(L46="131",M46="131"),H46='131-CT'!$E$7),"131",""))</f>
        <v>331</v>
      </c>
      <c r="O46" s="49" t="str">
        <f>IF(AND($B46&gt;='111'!$N$11,$B46&lt;='111'!$O$11,OR($L46=$O$7,$M46=$O$7)),"x","")</f>
        <v/>
      </c>
      <c r="P46" s="49" t="str">
        <f>IF(AND($L46=$O$7,$B46&lt;'111'!$N$11),"x","")</f>
        <v/>
      </c>
      <c r="Q46" s="49" t="str">
        <f>IF(AND($M46=$O$7,$B46&lt;'111'!$N$11),"x","")</f>
        <v/>
      </c>
      <c r="R46" s="49" t="str">
        <f>IF(ISERROR(FIND('112'!$M$9,G46,1)),"",IF((AND(FIND('112'!$M$9,G46,1)&gt;=1,$B46&gt;='112'!$N$8,$B46&lt;='112'!$O$8,OR($L46='112'!$I$6,$M46='112'!$I$6))),"x",""))</f>
        <v/>
      </c>
      <c r="S46" s="49" t="str">
        <f>IF(ISERROR(FIND('112'!$M$9,G46,1)),"",IF((AND(LEFT(G46,2)=LEFT('112'!$M$9,2),B46&lt;'112'!$N$8,$L46='112'!$I$6)),"x",""))</f>
        <v/>
      </c>
      <c r="T46" s="49" t="str">
        <f>IF(ISERROR(FIND('112'!$M$9,G46,1)),"",IF((AND(RIGHT(G46,2)=RIGHT('112'!$M$9,2),B46&lt;'112'!$N$8,$M46='112'!$I$6)),"x",""))</f>
        <v/>
      </c>
      <c r="U46" s="49" t="str">
        <f>IF(AND(L46="154",'154'!$O$5&lt;=B46,'154'!$P$5&gt;=B46),"154",IF(AND(L46="632",'632'!$L$5&lt;=B46,'632'!$M$5&gt;=B46),"632",IF(AND(L46="642",'642'!$N$5&lt;=B46,'642'!$O$5&gt;=B46),"642",IF(AND(L46="641",'641'!$N$5&lt;=B46,'641'!$O$5&gt;=B46),"641",""))))</f>
        <v/>
      </c>
      <c r="V46" s="49" t="str">
        <f>IF(OR(TH!L46=TH!$V$7,M46=TH!$V$7),"x","")</f>
        <v>x</v>
      </c>
      <c r="W46" s="49" t="str">
        <f>IF(AND(B46&gt;='IN-NX'!$P$3,B46&lt;='IN-NX'!$Q$3,'IN-NX'!$D$7=D46,OR(LEFT(L46,2)="15",AND(LEFT(M46,2)&lt;&gt;"15",LEFT(M46,2)&lt;&gt;"33"))),"x","")</f>
        <v/>
      </c>
      <c r="X46" s="49" t="str">
        <f>IF(AND(OR(LEFT(TH!L46,2)="15",LEFT(TH!M46,2)="15"),'152-CT'!$J$8=TH!F46),"x","")</f>
        <v/>
      </c>
      <c r="Y46" s="49" t="str">
        <f>IF(AND(OR(LEFT(TH!L46,2)="15",LEFT(TH!M46,2)="15"),TK!$E$7=TH!F46),"x","")</f>
        <v/>
      </c>
      <c r="Z46" s="49" t="str">
        <f>IF(AND(B46&lt;=NKC!$N$8,B46&gt;=NKC!$M$8),"x","")</f>
        <v>x</v>
      </c>
      <c r="AA46" s="723">
        <v>9</v>
      </c>
      <c r="AC46" s="199"/>
      <c r="AD46" s="199"/>
    </row>
    <row r="47" spans="1:30" s="497" customFormat="1" ht="15.75" hidden="1" customHeight="1">
      <c r="A47" s="724" t="str">
        <f>IF(B47&lt;&gt;"",IF(AND(B47&gt;=_TM1,B47&lt;=_TM2,OR(TH!L47="1111",TH!M47="1111")),TH!D47,""),"")</f>
        <v/>
      </c>
      <c r="B47" s="36">
        <f t="shared" si="5"/>
        <v>9</v>
      </c>
      <c r="C47" s="185">
        <f t="shared" si="6"/>
        <v>41160</v>
      </c>
      <c r="D47" s="178" t="s">
        <v>493</v>
      </c>
      <c r="E47" s="178">
        <v>41160</v>
      </c>
      <c r="F47" s="183" t="s">
        <v>486</v>
      </c>
      <c r="G47" s="731" t="s">
        <v>401</v>
      </c>
      <c r="H47" s="7" t="s">
        <v>390</v>
      </c>
      <c r="I47" s="247"/>
      <c r="J47" s="247"/>
      <c r="K47" s="37">
        <v>5646960</v>
      </c>
      <c r="L47" s="188" t="s">
        <v>8</v>
      </c>
      <c r="M47" s="188" t="s">
        <v>47</v>
      </c>
      <c r="N47" s="49" t="str">
        <f>IF(AND('331-CT'!$E$7=TH!H47,OR(L47="331",M47="331")),"331",IF(AND(OR(L47="131",M47="131"),H47='131-CT'!$E$7),"131",""))</f>
        <v>331</v>
      </c>
      <c r="O47" s="49" t="str">
        <f>IF(AND($B47&gt;='111'!$N$11,$B47&lt;='111'!$O$11,OR($L47=$O$7,$M47=$O$7)),"x","")</f>
        <v/>
      </c>
      <c r="P47" s="49" t="str">
        <f>IF(AND($L47=$O$7,$B47&lt;'111'!$N$11),"x","")</f>
        <v/>
      </c>
      <c r="Q47" s="49" t="str">
        <f>IF(AND($M47=$O$7,$B47&lt;'111'!$N$11),"x","")</f>
        <v>x</v>
      </c>
      <c r="R47" s="49" t="str">
        <f>IF(ISERROR(FIND('112'!$M$9,G47,1)),"",IF((AND(FIND('112'!$M$9,G47,1)&gt;=1,$B47&gt;='112'!$N$8,$B47&lt;='112'!$O$8,OR($L47='112'!$I$6,$M47='112'!$I$6))),"x",""))</f>
        <v/>
      </c>
      <c r="S47" s="49" t="str">
        <f>IF(ISERROR(FIND('112'!$M$9,G47,1)),"",IF((AND(LEFT(G47,2)=LEFT('112'!$M$9,2),B47&lt;'112'!$N$8,$L47='112'!$I$6)),"x",""))</f>
        <v/>
      </c>
      <c r="T47" s="49" t="str">
        <f>IF(ISERROR(FIND('112'!$M$9,G47,1)),"",IF((AND(RIGHT(G47,2)=RIGHT('112'!$M$9,2),B47&lt;'112'!$N$8,$M47='112'!$I$6)),"x",""))</f>
        <v/>
      </c>
      <c r="U47" s="49" t="str">
        <f>IF(AND(L47="154",'154'!$O$5&lt;=B47,'154'!$P$5&gt;=B47),"154",IF(AND(L47="632",'632'!$L$5&lt;=B47,'632'!$M$5&gt;=B47),"632",IF(AND(L47="642",'642'!$N$5&lt;=B47,'642'!$O$5&gt;=B47),"642",IF(AND(L47="641",'641'!$N$5&lt;=B47,'641'!$O$5&gt;=B47),"641",""))))</f>
        <v/>
      </c>
      <c r="V47" s="49" t="str">
        <f>IF(OR(TH!L47=TH!$V$7,M47=TH!$V$7),"x","")</f>
        <v/>
      </c>
      <c r="W47" s="49" t="str">
        <f>IF(AND(B47&gt;='IN-NX'!$P$3,B47&lt;='IN-NX'!$Q$3,'IN-NX'!$D$7=D47,OR(LEFT(L47,2)="15",AND(LEFT(M47,2)&lt;&gt;"15",LEFT(M47,2)&lt;&gt;"33"))),"x","")</f>
        <v/>
      </c>
      <c r="X47" s="49" t="str">
        <f>IF(AND(OR(LEFT(TH!L47,2)="15",LEFT(TH!M47,2)="15"),'152-CT'!$J$8=TH!F47),"x","")</f>
        <v/>
      </c>
      <c r="Y47" s="49" t="str">
        <f>IF(AND(OR(LEFT(TH!L47,2)="15",LEFT(TH!M47,2)="15"),TK!$E$7=TH!F47),"x","")</f>
        <v/>
      </c>
      <c r="Z47" s="49" t="str">
        <f>IF(AND(B47&lt;=NKC!$N$8,B47&gt;=NKC!$M$8),"x","")</f>
        <v>x</v>
      </c>
      <c r="AA47" s="723"/>
      <c r="AC47" s="199"/>
      <c r="AD47" s="199"/>
    </row>
    <row r="48" spans="1:30" s="497" customFormat="1" ht="15.75" hidden="1" customHeight="1">
      <c r="A48" s="724" t="str">
        <f>IF(B48&lt;&gt;"",IF(AND(B48&gt;=_TM1,B48&lt;=_TM2,OR(TH!L48="1111",TH!M48="1111")),TH!D48,""),"")</f>
        <v/>
      </c>
      <c r="B48" s="36">
        <f t="shared" si="5"/>
        <v>9</v>
      </c>
      <c r="C48" s="185">
        <f t="shared" si="6"/>
        <v>41165</v>
      </c>
      <c r="D48" s="178" t="s">
        <v>494</v>
      </c>
      <c r="E48" s="178">
        <v>41165</v>
      </c>
      <c r="F48" s="186" t="s">
        <v>381</v>
      </c>
      <c r="G48" s="731" t="s">
        <v>385</v>
      </c>
      <c r="H48" s="198" t="s">
        <v>383</v>
      </c>
      <c r="I48" s="247"/>
      <c r="J48" s="247"/>
      <c r="K48" s="37">
        <f>109679+263493</f>
        <v>373172</v>
      </c>
      <c r="L48" s="188" t="s">
        <v>83</v>
      </c>
      <c r="M48" s="188" t="s">
        <v>47</v>
      </c>
      <c r="N48" s="49" t="str">
        <f>IF(AND('331-CT'!$E$7=TH!H48,OR(L48="331",M48="331")),"331",IF(AND(OR(L48="131",M48="131"),H48='131-CT'!$E$7),"131",""))</f>
        <v/>
      </c>
      <c r="O48" s="49" t="str">
        <f>IF(AND($B48&gt;='111'!$N$11,$B48&lt;='111'!$O$11,OR($L48=$O$7,$M48=$O$7)),"x","")</f>
        <v/>
      </c>
      <c r="P48" s="49" t="str">
        <f>IF(AND($L48=$O$7,$B48&lt;'111'!$N$11),"x","")</f>
        <v/>
      </c>
      <c r="Q48" s="49" t="str">
        <f>IF(AND($M48=$O$7,$B48&lt;'111'!$N$11),"x","")</f>
        <v>x</v>
      </c>
      <c r="R48" s="49" t="str">
        <f>IF(ISERROR(FIND('112'!$M$9,G48,1)),"",IF((AND(FIND('112'!$M$9,G48,1)&gt;=1,$B48&gt;='112'!$N$8,$B48&lt;='112'!$O$8,OR($L48='112'!$I$6,$M48='112'!$I$6))),"x",""))</f>
        <v/>
      </c>
      <c r="S48" s="49" t="str">
        <f>IF(ISERROR(FIND('112'!$M$9,G48,1)),"",IF((AND(LEFT(G48,2)=LEFT('112'!$M$9,2),B48&lt;'112'!$N$8,$L48='112'!$I$6)),"x",""))</f>
        <v/>
      </c>
      <c r="T48" s="49" t="str">
        <f>IF(ISERROR(FIND('112'!$M$9,G48,1)),"",IF((AND(RIGHT(G48,2)=RIGHT('112'!$M$9,2),B48&lt;'112'!$N$8,$M48='112'!$I$6)),"x",""))</f>
        <v/>
      </c>
      <c r="U48" s="49" t="str">
        <f>IF(AND(L48="154",'154'!$O$5&lt;=B48,'154'!$P$5&gt;=B48),"154",IF(AND(L48="632",'632'!$L$5&lt;=B48,'632'!$M$5&gt;=B48),"632",IF(AND(L48="642",'642'!$N$5&lt;=B48,'642'!$O$5&gt;=B48),"642",IF(AND(L48="641",'641'!$N$5&lt;=B48,'641'!$O$5&gt;=B48),"641",""))))</f>
        <v/>
      </c>
      <c r="V48" s="49" t="str">
        <f>IF(OR(TH!L48=TH!$V$7,M48=TH!$V$7),"x","")</f>
        <v/>
      </c>
      <c r="W48" s="49" t="str">
        <f>IF(AND(B48&gt;='IN-NX'!$P$3,B48&lt;='IN-NX'!$Q$3,'IN-NX'!$D$7=D48,OR(LEFT(L48,2)="15",AND(LEFT(M48,2)&lt;&gt;"15",LEFT(M48,2)&lt;&gt;"33"))),"x","")</f>
        <v/>
      </c>
      <c r="X48" s="49" t="str">
        <f>IF(AND(OR(LEFT(TH!L48,2)="15",LEFT(TH!M48,2)="15"),'152-CT'!$J$8=TH!F48),"x","")</f>
        <v/>
      </c>
      <c r="Y48" s="49" t="str">
        <f>IF(AND(OR(LEFT(TH!L48,2)="15",LEFT(TH!M48,2)="15"),TK!$E$7=TH!F48),"x","")</f>
        <v/>
      </c>
      <c r="Z48" s="49" t="str">
        <f>IF(AND(B48&lt;=NKC!$N$8,B48&gt;=NKC!$M$8),"x","")</f>
        <v>x</v>
      </c>
      <c r="AA48" s="723"/>
      <c r="AC48" s="199"/>
      <c r="AD48" s="199"/>
    </row>
    <row r="49" spans="1:30" s="199" customFormat="1" ht="15.75" hidden="1" customHeight="1">
      <c r="A49" s="724" t="str">
        <f>IF(B49&lt;&gt;"",IF(AND(B49&gt;=_TM1,B49&lt;=_TM2,OR(TH!L49="1111",TH!M49="1111")),TH!D49,""),"")</f>
        <v/>
      </c>
      <c r="B49" s="36">
        <f t="shared" si="5"/>
        <v>9</v>
      </c>
      <c r="C49" s="185">
        <f t="shared" si="6"/>
        <v>41165</v>
      </c>
      <c r="D49" s="178" t="s">
        <v>494</v>
      </c>
      <c r="E49" s="178">
        <v>41165</v>
      </c>
      <c r="F49" s="186" t="s">
        <v>382</v>
      </c>
      <c r="G49" s="731" t="s">
        <v>385</v>
      </c>
      <c r="H49" s="198" t="s">
        <v>383</v>
      </c>
      <c r="I49" s="247"/>
      <c r="J49" s="247"/>
      <c r="K49" s="37">
        <f>10968+26349</f>
        <v>37317</v>
      </c>
      <c r="L49" s="188" t="s">
        <v>83</v>
      </c>
      <c r="M49" s="188" t="s">
        <v>47</v>
      </c>
      <c r="N49" s="49" t="str">
        <f>IF(AND('331-CT'!$E$7=TH!H49,OR(L49="331",M49="331")),"331",IF(AND(OR(L49="131",M49="131"),H49='131-CT'!$E$7),"131",""))</f>
        <v/>
      </c>
      <c r="O49" s="49" t="str">
        <f>IF(AND($B49&gt;='111'!$N$11,$B49&lt;='111'!$O$11,OR($L49=$O$7,$M49=$O$7)),"x","")</f>
        <v/>
      </c>
      <c r="P49" s="49" t="str">
        <f>IF(AND($L49=$O$7,$B49&lt;'111'!$N$11),"x","")</f>
        <v/>
      </c>
      <c r="Q49" s="49" t="str">
        <f>IF(AND($M49=$O$7,$B49&lt;'111'!$N$11),"x","")</f>
        <v>x</v>
      </c>
      <c r="R49" s="49" t="str">
        <f>IF(ISERROR(FIND('112'!$M$9,G49,1)),"",IF((AND(FIND('112'!$M$9,G49,1)&gt;=1,$B49&gt;='112'!$N$8,$B49&lt;='112'!$O$8,OR($L49='112'!$I$6,$M49='112'!$I$6))),"x",""))</f>
        <v/>
      </c>
      <c r="S49" s="49" t="str">
        <f>IF(ISERROR(FIND('112'!$M$9,G49,1)),"",IF((AND(LEFT(G49,2)=LEFT('112'!$M$9,2),B49&lt;'112'!$N$8,$L49='112'!$I$6)),"x",""))</f>
        <v/>
      </c>
      <c r="T49" s="49" t="str">
        <f>IF(ISERROR(FIND('112'!$M$9,G49,1)),"",IF((AND(RIGHT(G49,2)=RIGHT('112'!$M$9,2),B49&lt;'112'!$N$8,$M49='112'!$I$6)),"x",""))</f>
        <v/>
      </c>
      <c r="U49" s="49" t="str">
        <f>IF(AND(L49="154",'154'!$O$5&lt;=B49,'154'!$P$5&gt;=B49),"154",IF(AND(L49="632",'632'!$L$5&lt;=B49,'632'!$M$5&gt;=B49),"632",IF(AND(L49="642",'642'!$N$5&lt;=B49,'642'!$O$5&gt;=B49),"642",IF(AND(L49="641",'641'!$N$5&lt;=B49,'641'!$O$5&gt;=B49),"641",""))))</f>
        <v/>
      </c>
      <c r="V49" s="49" t="str">
        <f>IF(OR(TH!L49=TH!$V$7,M49=TH!$V$7),"x","")</f>
        <v/>
      </c>
      <c r="W49" s="49" t="str">
        <f>IF(AND(B49&gt;='IN-NX'!$P$3,B49&lt;='IN-NX'!$Q$3,'IN-NX'!$D$7=D49,OR(LEFT(L49,2)="15",AND(LEFT(M49,2)&lt;&gt;"15",LEFT(M49,2)&lt;&gt;"33"))),"x","")</f>
        <v/>
      </c>
      <c r="X49" s="49" t="str">
        <f>IF(AND(OR(LEFT(TH!L49,2)="15",LEFT(TH!M49,2)="15"),'152-CT'!$J$8=TH!F49),"x","")</f>
        <v/>
      </c>
      <c r="Y49" s="49" t="str">
        <f>IF(AND(OR(LEFT(TH!L49,2)="15",LEFT(TH!M49,2)="15"),TK!$E$7=TH!F49),"x","")</f>
        <v/>
      </c>
      <c r="Z49" s="49" t="str">
        <f>IF(AND(B49&lt;=NKC!$N$8,B49&gt;=NKC!$M$8),"x","")</f>
        <v>x</v>
      </c>
      <c r="AA49" s="723"/>
      <c r="AB49" s="497"/>
    </row>
    <row r="50" spans="1:30" s="199" customFormat="1" ht="15.75" hidden="1" customHeight="1">
      <c r="A50" s="724" t="str">
        <f>IF(B50&lt;&gt;"",IF(AND(B50&gt;=_TM1,B50&lt;=_TM2,OR(TH!L50="1111",TH!M50="1111")),TH!D50,""),"")</f>
        <v/>
      </c>
      <c r="B50" s="36">
        <f t="shared" si="5"/>
        <v>9</v>
      </c>
      <c r="C50" s="185">
        <f t="shared" si="6"/>
        <v>41167</v>
      </c>
      <c r="D50" s="178" t="s">
        <v>495</v>
      </c>
      <c r="E50" s="178">
        <v>41167</v>
      </c>
      <c r="F50" s="186" t="s">
        <v>381</v>
      </c>
      <c r="G50" s="731"/>
      <c r="H50" s="198" t="s">
        <v>383</v>
      </c>
      <c r="I50" s="247"/>
      <c r="J50" s="247"/>
      <c r="K50" s="37">
        <f>96876</f>
        <v>96876</v>
      </c>
      <c r="L50" s="188" t="s">
        <v>83</v>
      </c>
      <c r="M50" s="188" t="s">
        <v>47</v>
      </c>
      <c r="N50" s="49" t="str">
        <f>IF(AND('331-CT'!$E$7=TH!H50,OR(L50="331",M50="331")),"331",IF(AND(OR(L50="131",M50="131"),H50='131-CT'!$E$7),"131",""))</f>
        <v/>
      </c>
      <c r="O50" s="49" t="str">
        <f>IF(AND($B50&gt;='111'!$N$11,$B50&lt;='111'!$O$11,OR($L50=$O$7,$M50=$O$7)),"x","")</f>
        <v/>
      </c>
      <c r="P50" s="49" t="str">
        <f>IF(AND($L50=$O$7,$B50&lt;'111'!$N$11),"x","")</f>
        <v/>
      </c>
      <c r="Q50" s="49" t="str">
        <f>IF(AND($M50=$O$7,$B50&lt;'111'!$N$11),"x","")</f>
        <v>x</v>
      </c>
      <c r="R50" s="49" t="str">
        <f>IF(ISERROR(FIND('112'!$M$9,G50,1)),"",IF((AND(FIND('112'!$M$9,G50,1)&gt;=1,$B50&gt;='112'!$N$8,$B50&lt;='112'!$O$8,OR($L50='112'!$I$6,$M50='112'!$I$6))),"x",""))</f>
        <v/>
      </c>
      <c r="S50" s="49" t="str">
        <f>IF(ISERROR(FIND('112'!$M$9,G50,1)),"",IF((AND(LEFT(G50,2)=LEFT('112'!$M$9,2),B50&lt;'112'!$N$8,$L50='112'!$I$6)),"x",""))</f>
        <v/>
      </c>
      <c r="T50" s="49" t="str">
        <f>IF(ISERROR(FIND('112'!$M$9,G50,1)),"",IF((AND(RIGHT(G50,2)=RIGHT('112'!$M$9,2),B50&lt;'112'!$N$8,$M50='112'!$I$6)),"x",""))</f>
        <v/>
      </c>
      <c r="U50" s="49" t="str">
        <f>IF(AND(L50="154",'154'!$O$5&lt;=B50,'154'!$P$5&gt;=B50),"154",IF(AND(L50="632",'632'!$L$5&lt;=B50,'632'!$M$5&gt;=B50),"632",IF(AND(L50="642",'642'!$N$5&lt;=B50,'642'!$O$5&gt;=B50),"642",IF(AND(L50="641",'641'!$N$5&lt;=B50,'641'!$O$5&gt;=B50),"641",""))))</f>
        <v/>
      </c>
      <c r="V50" s="49" t="str">
        <f>IF(OR(TH!L50=TH!$V$7,M50=TH!$V$7),"x","")</f>
        <v/>
      </c>
      <c r="W50" s="49" t="str">
        <f>IF(AND(B50&gt;='IN-NX'!$P$3,B50&lt;='IN-NX'!$Q$3,'IN-NX'!$D$7=D50,OR(LEFT(L50,2)="15",AND(LEFT(M50,2)&lt;&gt;"15",LEFT(M50,2)&lt;&gt;"33"))),"x","")</f>
        <v/>
      </c>
      <c r="X50" s="49" t="str">
        <f>IF(AND(OR(LEFT(TH!L50,2)="15",LEFT(TH!M50,2)="15"),'152-CT'!$J$8=TH!F50),"x","")</f>
        <v/>
      </c>
      <c r="Y50" s="49" t="str">
        <f>IF(AND(OR(LEFT(TH!L50,2)="15",LEFT(TH!M50,2)="15"),TK!$E$7=TH!F50),"x","")</f>
        <v/>
      </c>
      <c r="Z50" s="49" t="str">
        <f>IF(AND(B50&lt;=NKC!$N$8,B50&gt;=NKC!$M$8),"x","")</f>
        <v>x</v>
      </c>
      <c r="AA50" s="723"/>
      <c r="AB50" s="497"/>
    </row>
    <row r="51" spans="1:30" s="199" customFormat="1" ht="15.75" hidden="1" customHeight="1">
      <c r="A51" s="724" t="str">
        <f>IF(B51&lt;&gt;"",IF(AND(B51&gt;=_TM1,B51&lt;=_TM2,OR(TH!L51="1111",TH!M51="1111")),TH!D51,""),"")</f>
        <v/>
      </c>
      <c r="B51" s="36">
        <f t="shared" si="5"/>
        <v>9</v>
      </c>
      <c r="C51" s="185">
        <f t="shared" si="6"/>
        <v>41167</v>
      </c>
      <c r="D51" s="178" t="s">
        <v>495</v>
      </c>
      <c r="E51" s="178">
        <v>41167</v>
      </c>
      <c r="F51" s="186" t="s">
        <v>382</v>
      </c>
      <c r="G51" s="731"/>
      <c r="H51" s="198" t="s">
        <v>383</v>
      </c>
      <c r="I51" s="247"/>
      <c r="J51" s="247"/>
      <c r="K51" s="37">
        <f>9688</f>
        <v>9688</v>
      </c>
      <c r="L51" s="188" t="s">
        <v>83</v>
      </c>
      <c r="M51" s="188" t="s">
        <v>47</v>
      </c>
      <c r="N51" s="49" t="str">
        <f>IF(AND('331-CT'!$E$7=TH!H51,OR(L51="331",M51="331")),"331",IF(AND(OR(L51="131",M51="131"),H51='131-CT'!$E$7),"131",""))</f>
        <v/>
      </c>
      <c r="O51" s="49" t="str">
        <f>IF(AND($B51&gt;='111'!$N$11,$B51&lt;='111'!$O$11,OR($L51=$O$7,$M51=$O$7)),"x","")</f>
        <v/>
      </c>
      <c r="P51" s="49" t="str">
        <f>IF(AND($L51=$O$7,$B51&lt;'111'!$N$11),"x","")</f>
        <v/>
      </c>
      <c r="Q51" s="49" t="str">
        <f>IF(AND($M51=$O$7,$B51&lt;'111'!$N$11),"x","")</f>
        <v>x</v>
      </c>
      <c r="R51" s="49" t="str">
        <f>IF(ISERROR(FIND('112'!$M$9,G51,1)),"",IF((AND(FIND('112'!$M$9,G51,1)&gt;=1,$B51&gt;='112'!$N$8,$B51&lt;='112'!$O$8,OR($L51='112'!$I$6,$M51='112'!$I$6))),"x",""))</f>
        <v/>
      </c>
      <c r="S51" s="49" t="str">
        <f>IF(ISERROR(FIND('112'!$M$9,G51,1)),"",IF((AND(LEFT(G51,2)=LEFT('112'!$M$9,2),B51&lt;'112'!$N$8,$L51='112'!$I$6)),"x",""))</f>
        <v/>
      </c>
      <c r="T51" s="49" t="str">
        <f>IF(ISERROR(FIND('112'!$M$9,G51,1)),"",IF((AND(RIGHT(G51,2)=RIGHT('112'!$M$9,2),B51&lt;'112'!$N$8,$M51='112'!$I$6)),"x",""))</f>
        <v/>
      </c>
      <c r="U51" s="49" t="str">
        <f>IF(AND(L51="154",'154'!$O$5&lt;=B51,'154'!$P$5&gt;=B51),"154",IF(AND(L51="632",'632'!$L$5&lt;=B51,'632'!$M$5&gt;=B51),"632",IF(AND(L51="642",'642'!$N$5&lt;=B51,'642'!$O$5&gt;=B51),"642",IF(AND(L51="641",'641'!$N$5&lt;=B51,'641'!$O$5&gt;=B51),"641",""))))</f>
        <v/>
      </c>
      <c r="V51" s="49" t="str">
        <f>IF(OR(TH!L51=TH!$V$7,M51=TH!$V$7),"x","")</f>
        <v/>
      </c>
      <c r="W51" s="49" t="str">
        <f>IF(AND(B51&gt;='IN-NX'!$P$3,B51&lt;='IN-NX'!$Q$3,'IN-NX'!$D$7=D51,OR(LEFT(L51,2)="15",AND(LEFT(M51,2)&lt;&gt;"15",LEFT(M51,2)&lt;&gt;"33"))),"x","")</f>
        <v/>
      </c>
      <c r="X51" s="49" t="str">
        <f>IF(AND(OR(LEFT(TH!L51,2)="15",LEFT(TH!M51,2)="15"),'152-CT'!$J$8=TH!F51),"x","")</f>
        <v/>
      </c>
      <c r="Y51" s="49" t="str">
        <f>IF(AND(OR(LEFT(TH!L51,2)="15",LEFT(TH!M51,2)="15"),TK!$E$7=TH!F51),"x","")</f>
        <v/>
      </c>
      <c r="Z51" s="49" t="str">
        <f>IF(AND(B51&lt;=NKC!$N$8,B51&gt;=NKC!$M$8),"x","")</f>
        <v>x</v>
      </c>
      <c r="AA51" s="723"/>
      <c r="AB51" s="497"/>
    </row>
    <row r="52" spans="1:30" s="199" customFormat="1" ht="15.75" hidden="1" customHeight="1">
      <c r="A52" s="724" t="str">
        <f>IF(B52&lt;&gt;"",IF(AND(B52&gt;=_TM1,B52&lt;=_TM2,OR(TH!L52="1111",TH!M52="1111")),TH!D52,""),"")</f>
        <v/>
      </c>
      <c r="B52" s="36">
        <f t="shared" si="5"/>
        <v>9</v>
      </c>
      <c r="C52" s="185">
        <f t="shared" si="6"/>
        <v>41167</v>
      </c>
      <c r="D52" s="178" t="s">
        <v>593</v>
      </c>
      <c r="E52" s="178">
        <v>41167</v>
      </c>
      <c r="F52" s="183" t="s">
        <v>534</v>
      </c>
      <c r="G52" s="731" t="s">
        <v>535</v>
      </c>
      <c r="H52" s="187" t="s">
        <v>536</v>
      </c>
      <c r="I52" s="247">
        <v>1200</v>
      </c>
      <c r="J52" s="247">
        <v>6780</v>
      </c>
      <c r="K52" s="505">
        <f>ROUND(I52*J52,0)</f>
        <v>8136000</v>
      </c>
      <c r="L52" s="506" t="s">
        <v>252</v>
      </c>
      <c r="M52" s="506" t="s">
        <v>164</v>
      </c>
      <c r="N52" s="49" t="str">
        <f>IF(AND('331-CT'!$E$7=TH!H52,OR(L52="331",M52="331")),"331",IF(AND(OR(L52="131",M52="131"),H52='131-CT'!$E$7),"131",""))</f>
        <v/>
      </c>
      <c r="O52" s="49" t="str">
        <f>IF(AND($B52&gt;='111'!$N$11,$B52&lt;='111'!$O$11,OR($L52=$O$7,$M52=$O$7)),"x","")</f>
        <v/>
      </c>
      <c r="P52" s="49" t="str">
        <f>IF(AND($L52=$O$7,$B52&lt;'111'!$N$11),"x","")</f>
        <v/>
      </c>
      <c r="Q52" s="49" t="str">
        <f>IF(AND($M52=$O$7,$B52&lt;'111'!$N$11),"x","")</f>
        <v/>
      </c>
      <c r="R52" s="49" t="str">
        <f>IF(ISERROR(FIND('112'!$M$9,G52,1)),"",IF((AND(FIND('112'!$M$9,G52,1)&gt;=1,$B52&gt;='112'!$N$8,$B52&lt;='112'!$O$8,OR($L52='112'!$I$6,$M52='112'!$I$6))),"x",""))</f>
        <v/>
      </c>
      <c r="S52" s="49" t="str">
        <f>IF(ISERROR(FIND('112'!$M$9,G52,1)),"",IF((AND(LEFT(G52,2)=LEFT('112'!$M$9,2),B52&lt;'112'!$N$8,$L52='112'!$I$6)),"x",""))</f>
        <v/>
      </c>
      <c r="T52" s="49" t="str">
        <f>IF(ISERROR(FIND('112'!$M$9,G52,1)),"",IF((AND(RIGHT(G52,2)=RIGHT('112'!$M$9,2),B52&lt;'112'!$N$8,$M52='112'!$I$6)),"x",""))</f>
        <v/>
      </c>
      <c r="U52" s="49" t="str">
        <f>IF(AND(L52="154",'154'!$O$5&lt;=B52,'154'!$P$5&gt;=B52),"154",IF(AND(L52="632",'632'!$L$5&lt;=B52,'632'!$M$5&gt;=B52),"632",IF(AND(L52="642",'642'!$N$5&lt;=B52,'642'!$O$5&gt;=B52),"642",IF(AND(L52="641",'641'!$N$5&lt;=B52,'641'!$O$5&gt;=B52),"641",""))))</f>
        <v/>
      </c>
      <c r="V52" s="49" t="str">
        <f>IF(OR(TH!L52=TH!$V$7,M52=TH!$V$7),"x","")</f>
        <v/>
      </c>
      <c r="W52" s="49" t="str">
        <f>IF(AND(B52&gt;='IN-NX'!$P$3,B52&lt;='IN-NX'!$Q$3,'IN-NX'!$D$7=D52,OR(LEFT(L52,2)="15",AND(LEFT(M52,2)&lt;&gt;"15",LEFT(M52,2)&lt;&gt;"33"))),"x","")</f>
        <v>x</v>
      </c>
      <c r="X52" s="49" t="str">
        <f>IF(AND(OR(LEFT(TH!L52,2)="15",LEFT(TH!M52,2)="15"),'152-CT'!$J$8=TH!F52),"x","")</f>
        <v/>
      </c>
      <c r="Y52" s="49" t="str">
        <f>IF(AND(OR(LEFT(TH!L52,2)="15",LEFT(TH!M52,2)="15"),TK!$E$7=TH!F52),"x","")</f>
        <v/>
      </c>
      <c r="Z52" s="49" t="str">
        <f>IF(AND(B52&lt;=NKC!$N$8,B52&gt;=NKC!$M$8),"x","")</f>
        <v>x</v>
      </c>
      <c r="AA52" s="723"/>
      <c r="AB52" s="497"/>
      <c r="AC52" s="497"/>
      <c r="AD52" s="497"/>
    </row>
    <row r="53" spans="1:30" s="199" customFormat="1" ht="15.75" hidden="1" customHeight="1">
      <c r="A53" s="724" t="str">
        <f>IF(B53&lt;&gt;"",IF(AND(B53&gt;=_TM1,B53&lt;=_TM2,OR(TH!L53="1111",TH!M53="1111")),TH!D53,""),"")</f>
        <v/>
      </c>
      <c r="B53" s="36">
        <f t="shared" si="5"/>
        <v>9</v>
      </c>
      <c r="C53" s="185">
        <f t="shared" si="6"/>
        <v>41167</v>
      </c>
      <c r="D53" s="178" t="s">
        <v>593</v>
      </c>
      <c r="E53" s="178">
        <v>41167</v>
      </c>
      <c r="F53" s="183" t="s">
        <v>537</v>
      </c>
      <c r="G53" s="731" t="s">
        <v>535</v>
      </c>
      <c r="H53" s="187" t="s">
        <v>536</v>
      </c>
      <c r="I53" s="247">
        <v>11700</v>
      </c>
      <c r="J53" s="247">
        <v>900</v>
      </c>
      <c r="K53" s="505">
        <f>ROUND(I53*J53,0)</f>
        <v>10530000</v>
      </c>
      <c r="L53" s="506" t="s">
        <v>252</v>
      </c>
      <c r="M53" s="506" t="s">
        <v>164</v>
      </c>
      <c r="N53" s="49" t="str">
        <f>IF(AND('331-CT'!$E$7=TH!H53,OR(L53="331",M53="331")),"331",IF(AND(OR(L53="131",M53="131"),H53='131-CT'!$E$7),"131",""))</f>
        <v/>
      </c>
      <c r="O53" s="49" t="str">
        <f>IF(AND($B53&gt;='111'!$N$11,$B53&lt;='111'!$O$11,OR($L53=$O$7,$M53=$O$7)),"x","")</f>
        <v/>
      </c>
      <c r="P53" s="49" t="str">
        <f>IF(AND($L53=$O$7,$B53&lt;'111'!$N$11),"x","")</f>
        <v/>
      </c>
      <c r="Q53" s="49" t="str">
        <f>IF(AND($M53=$O$7,$B53&lt;'111'!$N$11),"x","")</f>
        <v/>
      </c>
      <c r="R53" s="49" t="str">
        <f>IF(ISERROR(FIND('112'!$M$9,G53,1)),"",IF((AND(FIND('112'!$M$9,G53,1)&gt;=1,$B53&gt;='112'!$N$8,$B53&lt;='112'!$O$8,OR($L53='112'!$I$6,$M53='112'!$I$6))),"x",""))</f>
        <v/>
      </c>
      <c r="S53" s="49" t="str">
        <f>IF(ISERROR(FIND('112'!$M$9,G53,1)),"",IF((AND(LEFT(G53,2)=LEFT('112'!$M$9,2),B53&lt;'112'!$N$8,$L53='112'!$I$6)),"x",""))</f>
        <v/>
      </c>
      <c r="T53" s="49" t="str">
        <f>IF(ISERROR(FIND('112'!$M$9,G53,1)),"",IF((AND(RIGHT(G53,2)=RIGHT('112'!$M$9,2),B53&lt;'112'!$N$8,$M53='112'!$I$6)),"x",""))</f>
        <v/>
      </c>
      <c r="U53" s="49" t="str">
        <f>IF(AND(L53="154",'154'!$O$5&lt;=B53,'154'!$P$5&gt;=B53),"154",IF(AND(L53="632",'632'!$L$5&lt;=B53,'632'!$M$5&gt;=B53),"632",IF(AND(L53="642",'642'!$N$5&lt;=B53,'642'!$O$5&gt;=B53),"642",IF(AND(L53="641",'641'!$N$5&lt;=B53,'641'!$O$5&gt;=B53),"641",""))))</f>
        <v/>
      </c>
      <c r="V53" s="49" t="str">
        <f>IF(OR(TH!L53=TH!$V$7,M53=TH!$V$7),"x","")</f>
        <v/>
      </c>
      <c r="W53" s="49" t="str">
        <f>IF(AND(B53&gt;='IN-NX'!$P$3,B53&lt;='IN-NX'!$Q$3,'IN-NX'!$D$7=D53,OR(LEFT(L53,2)="15",AND(LEFT(M53,2)&lt;&gt;"15",LEFT(M53,2)&lt;&gt;"33"))),"x","")</f>
        <v>x</v>
      </c>
      <c r="X53" s="49" t="str">
        <f>IF(AND(OR(LEFT(TH!L53,2)="15",LEFT(TH!M53,2)="15"),'152-CT'!$J$8=TH!F53),"x","")</f>
        <v/>
      </c>
      <c r="Y53" s="49" t="str">
        <f>IF(AND(OR(LEFT(TH!L53,2)="15",LEFT(TH!M53,2)="15"),TK!$E$7=TH!F53),"x","")</f>
        <v/>
      </c>
      <c r="Z53" s="49" t="str">
        <f>IF(AND(B53&lt;=NKC!$N$8,B53&gt;=NKC!$M$8),"x","")</f>
        <v>x</v>
      </c>
      <c r="AA53" s="723"/>
      <c r="AB53" s="497"/>
      <c r="AC53" s="497"/>
      <c r="AD53" s="497"/>
    </row>
    <row r="54" spans="1:30" s="199" customFormat="1" ht="15.75" hidden="1" customHeight="1">
      <c r="A54" s="724" t="str">
        <f>IF(B54&lt;&gt;"",IF(AND(B54&gt;=_TM1,B54&lt;=_TM2,OR(TH!L54="1111",TH!M54="1111")),TH!D54,""),"")</f>
        <v/>
      </c>
      <c r="B54" s="36">
        <f t="shared" si="5"/>
        <v>9</v>
      </c>
      <c r="C54" s="185">
        <f t="shared" si="6"/>
        <v>41167</v>
      </c>
      <c r="D54" s="178" t="s">
        <v>593</v>
      </c>
      <c r="E54" s="178">
        <v>41167</v>
      </c>
      <c r="F54" s="183" t="s">
        <v>538</v>
      </c>
      <c r="G54" s="731" t="s">
        <v>535</v>
      </c>
      <c r="H54" s="187" t="s">
        <v>536</v>
      </c>
      <c r="I54" s="247"/>
      <c r="J54" s="247"/>
      <c r="K54" s="505">
        <v>1866600</v>
      </c>
      <c r="L54" s="506" t="s">
        <v>252</v>
      </c>
      <c r="M54" s="506" t="s">
        <v>297</v>
      </c>
      <c r="N54" s="49" t="str">
        <f>IF(AND('331-CT'!$E$7=TH!H54,OR(L54="331",M54="331")),"331",IF(AND(OR(L54="131",M54="131"),H54='131-CT'!$E$7),"131",""))</f>
        <v/>
      </c>
      <c r="O54" s="49" t="str">
        <f>IF(AND($B54&gt;='111'!$N$11,$B54&lt;='111'!$O$11,OR($L54=$O$7,$M54=$O$7)),"x","")</f>
        <v/>
      </c>
      <c r="P54" s="49" t="str">
        <f>IF(AND($L54=$O$7,$B54&lt;'111'!$N$11),"x","")</f>
        <v/>
      </c>
      <c r="Q54" s="49" t="str">
        <f>IF(AND($M54=$O$7,$B54&lt;'111'!$N$11),"x","")</f>
        <v/>
      </c>
      <c r="R54" s="49" t="str">
        <f>IF(ISERROR(FIND('112'!$M$9,G54,1)),"",IF((AND(FIND('112'!$M$9,G54,1)&gt;=1,$B54&gt;='112'!$N$8,$B54&lt;='112'!$O$8,OR($L54='112'!$I$6,$M54='112'!$I$6))),"x",""))</f>
        <v/>
      </c>
      <c r="S54" s="49" t="str">
        <f>IF(ISERROR(FIND('112'!$M$9,G54,1)),"",IF((AND(LEFT(G54,2)=LEFT('112'!$M$9,2),B54&lt;'112'!$N$8,$L54='112'!$I$6)),"x",""))</f>
        <v/>
      </c>
      <c r="T54" s="49" t="str">
        <f>IF(ISERROR(FIND('112'!$M$9,G54,1)),"",IF((AND(RIGHT(G54,2)=RIGHT('112'!$M$9,2),B54&lt;'112'!$N$8,$M54='112'!$I$6)),"x",""))</f>
        <v/>
      </c>
      <c r="U54" s="49" t="str">
        <f>IF(AND(L54="154",'154'!$O$5&lt;=B54,'154'!$P$5&gt;=B54),"154",IF(AND(L54="632",'632'!$L$5&lt;=B54,'632'!$M$5&gt;=B54),"632",IF(AND(L54="642",'642'!$N$5&lt;=B54,'642'!$O$5&gt;=B54),"642",IF(AND(L54="641",'641'!$N$5&lt;=B54,'641'!$O$5&gt;=B54),"641",""))))</f>
        <v/>
      </c>
      <c r="V54" s="49" t="str">
        <f>IF(OR(TH!L54=TH!$V$7,M54=TH!$V$7),"x","")</f>
        <v/>
      </c>
      <c r="W54" s="49" t="str">
        <f>IF(AND(B54&gt;='IN-NX'!$P$3,B54&lt;='IN-NX'!$Q$3,'IN-NX'!$D$7=D54,OR(LEFT(L54,2)="15",AND(LEFT(M54,2)&lt;&gt;"15",LEFT(M54,2)&lt;&gt;"33"))),"x","")</f>
        <v/>
      </c>
      <c r="X54" s="49" t="str">
        <f>IF(AND(OR(LEFT(TH!L54,2)="15",LEFT(TH!M54,2)="15"),'152-CT'!$J$8=TH!F54),"x","")</f>
        <v/>
      </c>
      <c r="Y54" s="49" t="str">
        <f>IF(AND(OR(LEFT(TH!L54,2)="15",LEFT(TH!M54,2)="15"),TK!$E$7=TH!F54),"x","")</f>
        <v/>
      </c>
      <c r="Z54" s="49" t="str">
        <f>IF(AND(B54&lt;=NKC!$N$8,B54&gt;=NKC!$M$8),"x","")</f>
        <v>x</v>
      </c>
      <c r="AA54" s="723"/>
      <c r="AB54" s="497"/>
      <c r="AC54" s="497"/>
      <c r="AD54" s="497"/>
    </row>
    <row r="55" spans="1:30" s="199" customFormat="1" ht="15.75" hidden="1" customHeight="1">
      <c r="A55" s="724" t="str">
        <f>IF(B55&lt;&gt;"",IF(AND(B55&gt;=_TM1,B55&lt;=_TM2,OR(TH!L55="1111",TH!M55="1111")),TH!D55,""),"")</f>
        <v/>
      </c>
      <c r="B55" s="36">
        <f t="shared" si="5"/>
        <v>9</v>
      </c>
      <c r="C55" s="185">
        <f t="shared" si="6"/>
        <v>41167</v>
      </c>
      <c r="D55" s="178" t="s">
        <v>595</v>
      </c>
      <c r="E55" s="178">
        <v>41167</v>
      </c>
      <c r="F55" s="183" t="s">
        <v>539</v>
      </c>
      <c r="G55" s="731" t="s">
        <v>540</v>
      </c>
      <c r="H55" s="187" t="s">
        <v>477</v>
      </c>
      <c r="I55" s="247">
        <v>1147</v>
      </c>
      <c r="J55" s="247">
        <v>6360</v>
      </c>
      <c r="K55" s="505">
        <f>ROUND(I55*J55,0)</f>
        <v>7294920</v>
      </c>
      <c r="L55" s="506" t="s">
        <v>252</v>
      </c>
      <c r="M55" s="506" t="s">
        <v>164</v>
      </c>
      <c r="N55" s="49" t="str">
        <f>IF(AND('331-CT'!$E$7=TH!H55,OR(L55="331",M55="331")),"331",IF(AND(OR(L55="131",M55="131"),H55='131-CT'!$E$7),"131",""))</f>
        <v/>
      </c>
      <c r="O55" s="49" t="str">
        <f>IF(AND($B55&gt;='111'!$N$11,$B55&lt;='111'!$O$11,OR($L55=$O$7,$M55=$O$7)),"x","")</f>
        <v/>
      </c>
      <c r="P55" s="49" t="str">
        <f>IF(AND($L55=$O$7,$B55&lt;'111'!$N$11),"x","")</f>
        <v/>
      </c>
      <c r="Q55" s="49" t="str">
        <f>IF(AND($M55=$O$7,$B55&lt;'111'!$N$11),"x","")</f>
        <v/>
      </c>
      <c r="R55" s="49" t="str">
        <f>IF(ISERROR(FIND('112'!$M$9,G55,1)),"",IF((AND(FIND('112'!$M$9,G55,1)&gt;=1,$B55&gt;='112'!$N$8,$B55&lt;='112'!$O$8,OR($L55='112'!$I$6,$M55='112'!$I$6))),"x",""))</f>
        <v/>
      </c>
      <c r="S55" s="49" t="str">
        <f>IF(ISERROR(FIND('112'!$M$9,G55,1)),"",IF((AND(LEFT(G55,2)=LEFT('112'!$M$9,2),B55&lt;'112'!$N$8,$L55='112'!$I$6)),"x",""))</f>
        <v/>
      </c>
      <c r="T55" s="49" t="str">
        <f>IF(ISERROR(FIND('112'!$M$9,G55,1)),"",IF((AND(RIGHT(G55,2)=RIGHT('112'!$M$9,2),B55&lt;'112'!$N$8,$M55='112'!$I$6)),"x",""))</f>
        <v/>
      </c>
      <c r="U55" s="49" t="str">
        <f>IF(AND(L55="154",'154'!$O$5&lt;=B55,'154'!$P$5&gt;=B55),"154",IF(AND(L55="632",'632'!$L$5&lt;=B55,'632'!$M$5&gt;=B55),"632",IF(AND(L55="642",'642'!$N$5&lt;=B55,'642'!$O$5&gt;=B55),"642",IF(AND(L55="641",'641'!$N$5&lt;=B55,'641'!$O$5&gt;=B55),"641",""))))</f>
        <v/>
      </c>
      <c r="V55" s="49" t="str">
        <f>IF(OR(TH!L55=TH!$V$7,M55=TH!$V$7),"x","")</f>
        <v/>
      </c>
      <c r="W55" s="49" t="str">
        <f>IF(AND(B55&gt;='IN-NX'!$P$3,B55&lt;='IN-NX'!$Q$3,'IN-NX'!$D$7=D55,OR(LEFT(L55,2)="15",AND(LEFT(M55,2)&lt;&gt;"15",LEFT(M55,2)&lt;&gt;"33"))),"x","")</f>
        <v/>
      </c>
      <c r="X55" s="49" t="str">
        <f>IF(AND(OR(LEFT(TH!L55,2)="15",LEFT(TH!M55,2)="15"),'152-CT'!$J$8=TH!F55),"x","")</f>
        <v/>
      </c>
      <c r="Y55" s="49" t="str">
        <f>IF(AND(OR(LEFT(TH!L55,2)="15",LEFT(TH!M55,2)="15"),TK!$E$7=TH!F55),"x","")</f>
        <v/>
      </c>
      <c r="Z55" s="49" t="str">
        <f>IF(AND(B55&lt;=NKC!$N$8,B55&gt;=NKC!$M$8),"x","")</f>
        <v>x</v>
      </c>
      <c r="AA55" s="723"/>
      <c r="AB55" s="497"/>
    </row>
    <row r="56" spans="1:30" s="199" customFormat="1" ht="15.75" hidden="1" customHeight="1">
      <c r="A56" s="724" t="str">
        <f>IF(B56&lt;&gt;"",IF(AND(B56&gt;=_TM1,B56&lt;=_TM2,OR(TH!L56="1111",TH!M56="1111")),TH!D56,""),"")</f>
        <v/>
      </c>
      <c r="B56" s="36">
        <f t="shared" si="5"/>
        <v>9</v>
      </c>
      <c r="C56" s="185">
        <f t="shared" si="6"/>
        <v>41167</v>
      </c>
      <c r="D56" s="178" t="s">
        <v>595</v>
      </c>
      <c r="E56" s="178">
        <v>41167</v>
      </c>
      <c r="F56" s="183" t="s">
        <v>538</v>
      </c>
      <c r="G56" s="731" t="s">
        <v>540</v>
      </c>
      <c r="H56" s="187" t="s">
        <v>477</v>
      </c>
      <c r="I56" s="247"/>
      <c r="J56" s="247"/>
      <c r="K56" s="505">
        <v>729492</v>
      </c>
      <c r="L56" s="506" t="s">
        <v>252</v>
      </c>
      <c r="M56" s="506" t="s">
        <v>297</v>
      </c>
      <c r="N56" s="49" t="str">
        <f>IF(AND('331-CT'!$E$7=TH!H56,OR(L56="331",M56="331")),"331",IF(AND(OR(L56="131",M56="131"),H56='131-CT'!$E$7),"131",""))</f>
        <v/>
      </c>
      <c r="O56" s="49" t="str">
        <f>IF(AND($B56&gt;='111'!$N$11,$B56&lt;='111'!$O$11,OR($L56=$O$7,$M56=$O$7)),"x","")</f>
        <v/>
      </c>
      <c r="P56" s="49" t="str">
        <f>IF(AND($L56=$O$7,$B56&lt;'111'!$N$11),"x","")</f>
        <v/>
      </c>
      <c r="Q56" s="49" t="str">
        <f>IF(AND($M56=$O$7,$B56&lt;'111'!$N$11),"x","")</f>
        <v/>
      </c>
      <c r="R56" s="49" t="str">
        <f>IF(ISERROR(FIND('112'!$M$9,G56,1)),"",IF((AND(FIND('112'!$M$9,G56,1)&gt;=1,$B56&gt;='112'!$N$8,$B56&lt;='112'!$O$8,OR($L56='112'!$I$6,$M56='112'!$I$6))),"x",""))</f>
        <v/>
      </c>
      <c r="S56" s="49" t="str">
        <f>IF(ISERROR(FIND('112'!$M$9,G56,1)),"",IF((AND(LEFT(G56,2)=LEFT('112'!$M$9,2),B56&lt;'112'!$N$8,$L56='112'!$I$6)),"x",""))</f>
        <v/>
      </c>
      <c r="T56" s="49" t="str">
        <f>IF(ISERROR(FIND('112'!$M$9,G56,1)),"",IF((AND(RIGHT(G56,2)=RIGHT('112'!$M$9,2),B56&lt;'112'!$N$8,$M56='112'!$I$6)),"x",""))</f>
        <v/>
      </c>
      <c r="U56" s="49" t="str">
        <f>IF(AND(L56="154",'154'!$O$5&lt;=B56,'154'!$P$5&gt;=B56),"154",IF(AND(L56="632",'632'!$L$5&lt;=B56,'632'!$M$5&gt;=B56),"632",IF(AND(L56="642",'642'!$N$5&lt;=B56,'642'!$O$5&gt;=B56),"642",IF(AND(L56="641",'641'!$N$5&lt;=B56,'641'!$O$5&gt;=B56),"641",""))))</f>
        <v/>
      </c>
      <c r="V56" s="49" t="str">
        <f>IF(OR(TH!L56=TH!$V$7,M56=TH!$V$7),"x","")</f>
        <v/>
      </c>
      <c r="W56" s="49" t="str">
        <f>IF(AND(B56&gt;='IN-NX'!$P$3,B56&lt;='IN-NX'!$Q$3,'IN-NX'!$D$7=D56,OR(LEFT(L56,2)="15",AND(LEFT(M56,2)&lt;&gt;"15",LEFT(M56,2)&lt;&gt;"33"))),"x","")</f>
        <v/>
      </c>
      <c r="X56" s="49" t="str">
        <f>IF(AND(OR(LEFT(TH!L56,2)="15",LEFT(TH!M56,2)="15"),'152-CT'!$J$8=TH!F56),"x","")</f>
        <v/>
      </c>
      <c r="Y56" s="49" t="str">
        <f>IF(AND(OR(LEFT(TH!L56,2)="15",LEFT(TH!M56,2)="15"),TK!$E$7=TH!F56),"x","")</f>
        <v/>
      </c>
      <c r="Z56" s="49" t="str">
        <f>IF(AND(B56&lt;=NKC!$N$8,B56&gt;=NKC!$M$8),"x","")</f>
        <v>x</v>
      </c>
      <c r="AA56" s="723"/>
      <c r="AB56" s="497"/>
    </row>
    <row r="57" spans="1:30" s="199" customFormat="1" ht="15.75" hidden="1" customHeight="1">
      <c r="A57" s="724" t="str">
        <f>IF(B57&lt;&gt;"",IF(AND(B57&gt;=_TM1,B57&lt;=_TM2,OR(TH!L57="1111",TH!M57="1111")),TH!D57,""),"")</f>
        <v/>
      </c>
      <c r="B57" s="36">
        <f t="shared" si="5"/>
        <v>9</v>
      </c>
      <c r="C57" s="185">
        <f t="shared" si="6"/>
        <v>41167</v>
      </c>
      <c r="D57" s="178" t="s">
        <v>596</v>
      </c>
      <c r="E57" s="178">
        <v>41167</v>
      </c>
      <c r="F57" s="183" t="s">
        <v>541</v>
      </c>
      <c r="G57" s="732" t="s">
        <v>542</v>
      </c>
      <c r="H57" s="187" t="s">
        <v>481</v>
      </c>
      <c r="I57" s="247">
        <v>1094</v>
      </c>
      <c r="J57" s="247">
        <v>6342</v>
      </c>
      <c r="K57" s="505">
        <f>ROUND(I57*J57,0)</f>
        <v>6938148</v>
      </c>
      <c r="L57" s="506" t="s">
        <v>252</v>
      </c>
      <c r="M57" s="506" t="s">
        <v>164</v>
      </c>
      <c r="N57" s="49" t="str">
        <f>IF(AND('331-CT'!$E$7=TH!H57,OR(L57="331",M57="331")),"331",IF(AND(OR(L57="131",M57="131"),H57='131-CT'!$E$7),"131",""))</f>
        <v/>
      </c>
      <c r="O57" s="49" t="str">
        <f>IF(AND($B57&gt;='111'!$N$11,$B57&lt;='111'!$O$11,OR($L57=$O$7,$M57=$O$7)),"x","")</f>
        <v/>
      </c>
      <c r="P57" s="49" t="str">
        <f>IF(AND($L57=$O$7,$B57&lt;'111'!$N$11),"x","")</f>
        <v/>
      </c>
      <c r="Q57" s="49" t="str">
        <f>IF(AND($M57=$O$7,$B57&lt;'111'!$N$11),"x","")</f>
        <v/>
      </c>
      <c r="R57" s="49" t="str">
        <f>IF(ISERROR(FIND('112'!$M$9,G57,1)),"",IF((AND(FIND('112'!$M$9,G57,1)&gt;=1,$B57&gt;='112'!$N$8,$B57&lt;='112'!$O$8,OR($L57='112'!$I$6,$M57='112'!$I$6))),"x",""))</f>
        <v/>
      </c>
      <c r="S57" s="49" t="str">
        <f>IF(ISERROR(FIND('112'!$M$9,G57,1)),"",IF((AND(LEFT(G57,2)=LEFT('112'!$M$9,2),B57&lt;'112'!$N$8,$L57='112'!$I$6)),"x",""))</f>
        <v/>
      </c>
      <c r="T57" s="49" t="str">
        <f>IF(ISERROR(FIND('112'!$M$9,G57,1)),"",IF((AND(RIGHT(G57,2)=RIGHT('112'!$M$9,2),B57&lt;'112'!$N$8,$M57='112'!$I$6)),"x",""))</f>
        <v/>
      </c>
      <c r="U57" s="49" t="str">
        <f>IF(AND(L57="154",'154'!$O$5&lt;=B57,'154'!$P$5&gt;=B57),"154",IF(AND(L57="632",'632'!$L$5&lt;=B57,'632'!$M$5&gt;=B57),"632",IF(AND(L57="642",'642'!$N$5&lt;=B57,'642'!$O$5&gt;=B57),"642",IF(AND(L57="641",'641'!$N$5&lt;=B57,'641'!$O$5&gt;=B57),"641",""))))</f>
        <v/>
      </c>
      <c r="V57" s="49" t="str">
        <f>IF(OR(TH!L57=TH!$V$7,M57=TH!$V$7),"x","")</f>
        <v/>
      </c>
      <c r="W57" s="49" t="str">
        <f>IF(AND(B57&gt;='IN-NX'!$P$3,B57&lt;='IN-NX'!$Q$3,'IN-NX'!$D$7=D57,OR(LEFT(L57,2)="15",AND(LEFT(M57,2)&lt;&gt;"15",LEFT(M57,2)&lt;&gt;"33"))),"x","")</f>
        <v/>
      </c>
      <c r="X57" s="49" t="str">
        <f>IF(AND(OR(LEFT(TH!L57,2)="15",LEFT(TH!M57,2)="15"),'152-CT'!$J$8=TH!F57),"x","")</f>
        <v/>
      </c>
      <c r="Y57" s="49" t="str">
        <f>IF(AND(OR(LEFT(TH!L57,2)="15",LEFT(TH!M57,2)="15"),TK!$E$7=TH!F57),"x","")</f>
        <v/>
      </c>
      <c r="Z57" s="49" t="str">
        <f>IF(AND(B57&lt;=NKC!$N$8,B57&gt;=NKC!$M$8),"x","")</f>
        <v>x</v>
      </c>
      <c r="AA57" s="723"/>
      <c r="AB57" s="497"/>
      <c r="AC57" s="497"/>
      <c r="AD57" s="497"/>
    </row>
    <row r="58" spans="1:30" s="199" customFormat="1" ht="15.75" hidden="1" customHeight="1">
      <c r="A58" s="724" t="str">
        <f>IF(B58&lt;&gt;"",IF(AND(B58&gt;=_TM1,B58&lt;=_TM2,OR(TH!L58="1111",TH!M58="1111")),TH!D58,""),"")</f>
        <v/>
      </c>
      <c r="B58" s="36">
        <f t="shared" si="5"/>
        <v>9</v>
      </c>
      <c r="C58" s="185">
        <f t="shared" si="6"/>
        <v>41167</v>
      </c>
      <c r="D58" s="178" t="s">
        <v>596</v>
      </c>
      <c r="E58" s="178">
        <v>41167</v>
      </c>
      <c r="F58" s="183" t="s">
        <v>543</v>
      </c>
      <c r="G58" s="732" t="s">
        <v>542</v>
      </c>
      <c r="H58" s="187" t="s">
        <v>481</v>
      </c>
      <c r="I58" s="247">
        <v>1010</v>
      </c>
      <c r="J58" s="247">
        <v>6200</v>
      </c>
      <c r="K58" s="505">
        <f>ROUND(I58*J58,0)</f>
        <v>6262000</v>
      </c>
      <c r="L58" s="506" t="s">
        <v>252</v>
      </c>
      <c r="M58" s="506" t="s">
        <v>164</v>
      </c>
      <c r="N58" s="49" t="str">
        <f>IF(AND('331-CT'!$E$7=TH!H58,OR(L58="331",M58="331")),"331",IF(AND(OR(L58="131",M58="131"),H58='131-CT'!$E$7),"131",""))</f>
        <v/>
      </c>
      <c r="O58" s="49" t="str">
        <f>IF(AND($B58&gt;='111'!$N$11,$B58&lt;='111'!$O$11,OR($L58=$O$7,$M58=$O$7)),"x","")</f>
        <v/>
      </c>
      <c r="P58" s="49" t="str">
        <f>IF(AND($L58=$O$7,$B58&lt;'111'!$N$11),"x","")</f>
        <v/>
      </c>
      <c r="Q58" s="49" t="str">
        <f>IF(AND($M58=$O$7,$B58&lt;'111'!$N$11),"x","")</f>
        <v/>
      </c>
      <c r="R58" s="49" t="str">
        <f>IF(ISERROR(FIND('112'!$M$9,G58,1)),"",IF((AND(FIND('112'!$M$9,G58,1)&gt;=1,$B58&gt;='112'!$N$8,$B58&lt;='112'!$O$8,OR($L58='112'!$I$6,$M58='112'!$I$6))),"x",""))</f>
        <v/>
      </c>
      <c r="S58" s="49" t="str">
        <f>IF(ISERROR(FIND('112'!$M$9,G58,1)),"",IF((AND(LEFT(G58,2)=LEFT('112'!$M$9,2),B58&lt;'112'!$N$8,$L58='112'!$I$6)),"x",""))</f>
        <v/>
      </c>
      <c r="T58" s="49" t="str">
        <f>IF(ISERROR(FIND('112'!$M$9,G58,1)),"",IF((AND(RIGHT(G58,2)=RIGHT('112'!$M$9,2),B58&lt;'112'!$N$8,$M58='112'!$I$6)),"x",""))</f>
        <v/>
      </c>
      <c r="U58" s="49" t="str">
        <f>IF(AND(L58="154",'154'!$O$5&lt;=B58,'154'!$P$5&gt;=B58),"154",IF(AND(L58="632",'632'!$L$5&lt;=B58,'632'!$M$5&gt;=B58),"632",IF(AND(L58="642",'642'!$N$5&lt;=B58,'642'!$O$5&gt;=B58),"642",IF(AND(L58="641",'641'!$N$5&lt;=B58,'641'!$O$5&gt;=B58),"641",""))))</f>
        <v/>
      </c>
      <c r="V58" s="49" t="str">
        <f>IF(OR(TH!L58=TH!$V$7,M58=TH!$V$7),"x","")</f>
        <v/>
      </c>
      <c r="W58" s="49" t="str">
        <f>IF(AND(B58&gt;='IN-NX'!$P$3,B58&lt;='IN-NX'!$Q$3,'IN-NX'!$D$7=D58,OR(LEFT(L58,2)="15",AND(LEFT(M58,2)&lt;&gt;"15",LEFT(M58,2)&lt;&gt;"33"))),"x","")</f>
        <v/>
      </c>
      <c r="X58" s="49" t="str">
        <f>IF(AND(OR(LEFT(TH!L58,2)="15",LEFT(TH!M58,2)="15"),'152-CT'!$J$8=TH!F58),"x","")</f>
        <v/>
      </c>
      <c r="Y58" s="49" t="str">
        <f>IF(AND(OR(LEFT(TH!L58,2)="15",LEFT(TH!M58,2)="15"),TK!$E$7=TH!F58),"x","")</f>
        <v/>
      </c>
      <c r="Z58" s="49" t="str">
        <f>IF(AND(B58&lt;=NKC!$N$8,B58&gt;=NKC!$M$8),"x","")</f>
        <v>x</v>
      </c>
      <c r="AA58" s="723"/>
      <c r="AB58" s="497"/>
      <c r="AC58" s="497"/>
      <c r="AD58" s="497"/>
    </row>
    <row r="59" spans="1:30" s="199" customFormat="1" ht="15.75" hidden="1" customHeight="1">
      <c r="A59" s="724" t="str">
        <f>IF(B59&lt;&gt;"",IF(AND(B59&gt;=_TM1,B59&lt;=_TM2,OR(TH!L59="1111",TH!M59="1111")),TH!D59,""),"")</f>
        <v/>
      </c>
      <c r="B59" s="36">
        <f t="shared" si="5"/>
        <v>9</v>
      </c>
      <c r="C59" s="185">
        <f t="shared" si="6"/>
        <v>41167</v>
      </c>
      <c r="D59" s="178" t="s">
        <v>596</v>
      </c>
      <c r="E59" s="178">
        <v>41167</v>
      </c>
      <c r="F59" s="183" t="s">
        <v>544</v>
      </c>
      <c r="G59" s="732" t="s">
        <v>542</v>
      </c>
      <c r="H59" s="187" t="s">
        <v>481</v>
      </c>
      <c r="I59" s="247">
        <v>1050</v>
      </c>
      <c r="J59" s="247">
        <v>7110</v>
      </c>
      <c r="K59" s="505">
        <f>ROUND(I59*J59,0)</f>
        <v>7465500</v>
      </c>
      <c r="L59" s="506" t="s">
        <v>252</v>
      </c>
      <c r="M59" s="506" t="s">
        <v>164</v>
      </c>
      <c r="N59" s="49" t="str">
        <f>IF(AND('331-CT'!$E$7=TH!H59,OR(L59="331",M59="331")),"331",IF(AND(OR(L59="131",M59="131"),H59='131-CT'!$E$7),"131",""))</f>
        <v/>
      </c>
      <c r="O59" s="49" t="str">
        <f>IF(AND($B59&gt;='111'!$N$11,$B59&lt;='111'!$O$11,OR($L59=$O$7,$M59=$O$7)),"x","")</f>
        <v/>
      </c>
      <c r="P59" s="49" t="str">
        <f>IF(AND($L59=$O$7,$B59&lt;'111'!$N$11),"x","")</f>
        <v/>
      </c>
      <c r="Q59" s="49" t="str">
        <f>IF(AND($M59=$O$7,$B59&lt;'111'!$N$11),"x","")</f>
        <v/>
      </c>
      <c r="R59" s="49" t="str">
        <f>IF(ISERROR(FIND('112'!$M$9,G59,1)),"",IF((AND(FIND('112'!$M$9,G59,1)&gt;=1,$B59&gt;='112'!$N$8,$B59&lt;='112'!$O$8,OR($L59='112'!$I$6,$M59='112'!$I$6))),"x",""))</f>
        <v/>
      </c>
      <c r="S59" s="49" t="str">
        <f>IF(ISERROR(FIND('112'!$M$9,G59,1)),"",IF((AND(LEFT(G59,2)=LEFT('112'!$M$9,2),B59&lt;'112'!$N$8,$L59='112'!$I$6)),"x",""))</f>
        <v/>
      </c>
      <c r="T59" s="49" t="str">
        <f>IF(ISERROR(FIND('112'!$M$9,G59,1)),"",IF((AND(RIGHT(G59,2)=RIGHT('112'!$M$9,2),B59&lt;'112'!$N$8,$M59='112'!$I$6)),"x",""))</f>
        <v/>
      </c>
      <c r="U59" s="49" t="str">
        <f>IF(AND(L59="154",'154'!$O$5&lt;=B59,'154'!$P$5&gt;=B59),"154",IF(AND(L59="632",'632'!$L$5&lt;=B59,'632'!$M$5&gt;=B59),"632",IF(AND(L59="642",'642'!$N$5&lt;=B59,'642'!$O$5&gt;=B59),"642",IF(AND(L59="641",'641'!$N$5&lt;=B59,'641'!$O$5&gt;=B59),"641",""))))</f>
        <v/>
      </c>
      <c r="V59" s="49" t="str">
        <f>IF(OR(TH!L59=TH!$V$7,M59=TH!$V$7),"x","")</f>
        <v/>
      </c>
      <c r="W59" s="49" t="str">
        <f>IF(AND(B59&gt;='IN-NX'!$P$3,B59&lt;='IN-NX'!$Q$3,'IN-NX'!$D$7=D59,OR(LEFT(L59,2)="15",AND(LEFT(M59,2)&lt;&gt;"15",LEFT(M59,2)&lt;&gt;"33"))),"x","")</f>
        <v/>
      </c>
      <c r="X59" s="49" t="str">
        <f>IF(AND(OR(LEFT(TH!L59,2)="15",LEFT(TH!M59,2)="15"),'152-CT'!$J$8=TH!F59),"x","")</f>
        <v/>
      </c>
      <c r="Y59" s="49" t="str">
        <f>IF(AND(OR(LEFT(TH!L59,2)="15",LEFT(TH!M59,2)="15"),TK!$E$7=TH!F59),"x","")</f>
        <v/>
      </c>
      <c r="Z59" s="49" t="str">
        <f>IF(AND(B59&lt;=NKC!$N$8,B59&gt;=NKC!$M$8),"x","")</f>
        <v>x</v>
      </c>
      <c r="AA59" s="723"/>
      <c r="AB59" s="497"/>
      <c r="AC59" s="497"/>
      <c r="AD59" s="497"/>
    </row>
    <row r="60" spans="1:30" s="199" customFormat="1" ht="15.75" hidden="1" customHeight="1">
      <c r="A60" s="724" t="str">
        <f>IF(B60&lt;&gt;"",IF(AND(B60&gt;=_TM1,B60&lt;=_TM2,OR(TH!L60="1111",TH!M60="1111")),TH!D60,""),"")</f>
        <v/>
      </c>
      <c r="B60" s="36">
        <f t="shared" si="5"/>
        <v>9</v>
      </c>
      <c r="C60" s="185">
        <f t="shared" si="6"/>
        <v>41167</v>
      </c>
      <c r="D60" s="178" t="s">
        <v>596</v>
      </c>
      <c r="E60" s="178">
        <v>41167</v>
      </c>
      <c r="F60" s="183" t="s">
        <v>538</v>
      </c>
      <c r="G60" s="732" t="s">
        <v>542</v>
      </c>
      <c r="H60" s="187" t="s">
        <v>481</v>
      </c>
      <c r="I60" s="247"/>
      <c r="J60" s="247"/>
      <c r="K60" s="505">
        <v>2066564</v>
      </c>
      <c r="L60" s="506" t="s">
        <v>252</v>
      </c>
      <c r="M60" s="506" t="s">
        <v>297</v>
      </c>
      <c r="N60" s="49" t="str">
        <f>IF(AND('331-CT'!$E$7=TH!H60,OR(L60="331",M60="331")),"331",IF(AND(OR(L60="131",M60="131"),H60='131-CT'!$E$7),"131",""))</f>
        <v/>
      </c>
      <c r="O60" s="49" t="str">
        <f>IF(AND($B60&gt;='111'!$N$11,$B60&lt;='111'!$O$11,OR($L60=$O$7,$M60=$O$7)),"x","")</f>
        <v/>
      </c>
      <c r="P60" s="49" t="str">
        <f>IF(AND($L60=$O$7,$B60&lt;'111'!$N$11),"x","")</f>
        <v/>
      </c>
      <c r="Q60" s="49" t="str">
        <f>IF(AND($M60=$O$7,$B60&lt;'111'!$N$11),"x","")</f>
        <v/>
      </c>
      <c r="R60" s="49" t="str">
        <f>IF(ISERROR(FIND('112'!$M$9,G60,1)),"",IF((AND(FIND('112'!$M$9,G60,1)&gt;=1,$B60&gt;='112'!$N$8,$B60&lt;='112'!$O$8,OR($L60='112'!$I$6,$M60='112'!$I$6))),"x",""))</f>
        <v/>
      </c>
      <c r="S60" s="49" t="str">
        <f>IF(ISERROR(FIND('112'!$M$9,G60,1)),"",IF((AND(LEFT(G60,2)=LEFT('112'!$M$9,2),B60&lt;'112'!$N$8,$L60='112'!$I$6)),"x",""))</f>
        <v/>
      </c>
      <c r="T60" s="49" t="str">
        <f>IF(ISERROR(FIND('112'!$M$9,G60,1)),"",IF((AND(RIGHT(G60,2)=RIGHT('112'!$M$9,2),B60&lt;'112'!$N$8,$M60='112'!$I$6)),"x",""))</f>
        <v/>
      </c>
      <c r="U60" s="49" t="str">
        <f>IF(AND(L60="154",'154'!$O$5&lt;=B60,'154'!$P$5&gt;=B60),"154",IF(AND(L60="632",'632'!$L$5&lt;=B60,'632'!$M$5&gt;=B60),"632",IF(AND(L60="642",'642'!$N$5&lt;=B60,'642'!$O$5&gt;=B60),"642",IF(AND(L60="641",'641'!$N$5&lt;=B60,'641'!$O$5&gt;=B60),"641",""))))</f>
        <v/>
      </c>
      <c r="V60" s="49" t="str">
        <f>IF(OR(TH!L60=TH!$V$7,M60=TH!$V$7),"x","")</f>
        <v/>
      </c>
      <c r="W60" s="49" t="str">
        <f>IF(AND(B60&gt;='IN-NX'!$P$3,B60&lt;='IN-NX'!$Q$3,'IN-NX'!$D$7=D60,OR(LEFT(L60,2)="15",AND(LEFT(M60,2)&lt;&gt;"15",LEFT(M60,2)&lt;&gt;"33"))),"x","")</f>
        <v/>
      </c>
      <c r="X60" s="49" t="str">
        <f>IF(AND(OR(LEFT(TH!L60,2)="15",LEFT(TH!M60,2)="15"),'152-CT'!$J$8=TH!F60),"x","")</f>
        <v/>
      </c>
      <c r="Y60" s="49" t="str">
        <f>IF(AND(OR(LEFT(TH!L60,2)="15",LEFT(TH!M60,2)="15"),TK!$E$7=TH!F60),"x","")</f>
        <v/>
      </c>
      <c r="Z60" s="49" t="str">
        <f>IF(AND(B60&lt;=NKC!$N$8,B60&gt;=NKC!$M$8),"x","")</f>
        <v>x</v>
      </c>
      <c r="AA60" s="723"/>
      <c r="AB60" s="497"/>
      <c r="AC60" s="497"/>
      <c r="AD60" s="497"/>
    </row>
    <row r="61" spans="1:30" s="199" customFormat="1" ht="15.75" hidden="1" customHeight="1">
      <c r="A61" s="724" t="str">
        <f>IF(B61&lt;&gt;"",IF(AND(B61&gt;=_TM1,B61&lt;=_TM2,OR(TH!L61="1111",TH!M61="1111")),TH!D61,""),"")</f>
        <v/>
      </c>
      <c r="B61" s="36">
        <f t="shared" si="5"/>
        <v>9</v>
      </c>
      <c r="C61" s="185">
        <f t="shared" si="6"/>
        <v>41169</v>
      </c>
      <c r="D61" s="178" t="s">
        <v>473</v>
      </c>
      <c r="E61" s="178">
        <v>41169</v>
      </c>
      <c r="F61" s="183" t="s">
        <v>476</v>
      </c>
      <c r="G61" s="731" t="s">
        <v>374</v>
      </c>
      <c r="H61" s="187" t="s">
        <v>536</v>
      </c>
      <c r="I61" s="247"/>
      <c r="J61" s="247"/>
      <c r="K61" s="505">
        <v>20532600</v>
      </c>
      <c r="L61" s="506" t="s">
        <v>24</v>
      </c>
      <c r="M61" s="506" t="s">
        <v>252</v>
      </c>
      <c r="N61" s="49" t="str">
        <f>IF(AND('331-CT'!$E$7=TH!H61,OR(L61="331",M61="331")),"331",IF(AND(OR(L61="131",M61="131"),H61='131-CT'!$E$7),"131",""))</f>
        <v/>
      </c>
      <c r="O61" s="49" t="str">
        <f>IF(AND($B61&gt;='111'!$N$11,$B61&lt;='111'!$O$11,OR($L61=$O$7,$M61=$O$7)),"x","")</f>
        <v/>
      </c>
      <c r="P61" s="49" t="str">
        <f>IF(AND($L61=$O$7,$B61&lt;'111'!$N$11),"x","")</f>
        <v/>
      </c>
      <c r="Q61" s="49" t="str">
        <f>IF(AND($M61=$O$7,$B61&lt;'111'!$N$11),"x","")</f>
        <v/>
      </c>
      <c r="R61" s="49" t="str">
        <f>IF(ISERROR(FIND('112'!$M$9,G61,1)),"",IF((AND(FIND('112'!$M$9,G61,1)&gt;=1,$B61&gt;='112'!$N$8,$B61&lt;='112'!$O$8,OR($L61='112'!$I$6,$M61='112'!$I$6))),"x",""))</f>
        <v/>
      </c>
      <c r="S61" s="49" t="str">
        <f>IF(ISERROR(FIND('112'!$M$9,G61,1)),"",IF((AND(LEFT(G61,2)=LEFT('112'!$M$9,2),B61&lt;'112'!$N$8,$L61='112'!$I$6)),"x",""))</f>
        <v>x</v>
      </c>
      <c r="T61" s="49" t="str">
        <f>IF(ISERROR(FIND('112'!$M$9,G61,1)),"",IF((AND(RIGHT(G61,2)=RIGHT('112'!$M$9,2),B61&lt;'112'!$N$8,$M61='112'!$I$6)),"x",""))</f>
        <v/>
      </c>
      <c r="U61" s="49" t="str">
        <f>IF(AND(L61="154",'154'!$O$5&lt;=B61,'154'!$P$5&gt;=B61),"154",IF(AND(L61="632",'632'!$L$5&lt;=B61,'632'!$M$5&gt;=B61),"632",IF(AND(L61="642",'642'!$N$5&lt;=B61,'642'!$O$5&gt;=B61),"642",IF(AND(L61="641",'641'!$N$5&lt;=B61,'641'!$O$5&gt;=B61),"641",""))))</f>
        <v/>
      </c>
      <c r="V61" s="49" t="str">
        <f>IF(OR(TH!L61=TH!$V$7,M61=TH!$V$7),"x","")</f>
        <v/>
      </c>
      <c r="W61" s="49" t="str">
        <f>IF(AND(B61&gt;='IN-NX'!$P$3,B61&lt;='IN-NX'!$Q$3,'IN-NX'!$D$7=D61,OR(LEFT(L61,2)="15",AND(LEFT(M61,2)&lt;&gt;"15",LEFT(M61,2)&lt;&gt;"33"))),"x","")</f>
        <v/>
      </c>
      <c r="X61" s="49" t="str">
        <f>IF(AND(OR(LEFT(TH!L61,2)="15",LEFT(TH!M61,2)="15"),'152-CT'!$J$8=TH!F61),"x","")</f>
        <v/>
      </c>
      <c r="Y61" s="49" t="str">
        <f>IF(AND(OR(LEFT(TH!L61,2)="15",LEFT(TH!M61,2)="15"),TK!$E$7=TH!F61),"x","")</f>
        <v/>
      </c>
      <c r="Z61" s="49" t="str">
        <f>IF(AND(B61&lt;=NKC!$N$8,B61&gt;=NKC!$M$8),"x","")</f>
        <v>x</v>
      </c>
      <c r="AA61" s="723"/>
      <c r="AB61" s="497"/>
      <c r="AC61" s="497"/>
      <c r="AD61" s="497"/>
    </row>
    <row r="62" spans="1:30" s="199" customFormat="1" ht="15.75" hidden="1" customHeight="1">
      <c r="A62" s="724" t="str">
        <f>IF(B62&lt;&gt;"",IF(AND(B62&gt;=_TM1,B62&lt;=_TM2,OR(TH!L62="1111",TH!M62="1111")),TH!D62,""),"")</f>
        <v/>
      </c>
      <c r="B62" s="36">
        <f t="shared" si="5"/>
        <v>9</v>
      </c>
      <c r="C62" s="185">
        <f t="shared" si="6"/>
        <v>41169</v>
      </c>
      <c r="D62" s="178" t="s">
        <v>597</v>
      </c>
      <c r="E62" s="178">
        <v>41169</v>
      </c>
      <c r="F62" s="183" t="s">
        <v>545</v>
      </c>
      <c r="G62" s="732" t="s">
        <v>546</v>
      </c>
      <c r="H62" s="187" t="s">
        <v>481</v>
      </c>
      <c r="I62" s="247">
        <v>1200</v>
      </c>
      <c r="J62" s="247">
        <v>5150</v>
      </c>
      <c r="K62" s="505">
        <f>ROUND(I62*J62,0)</f>
        <v>6180000</v>
      </c>
      <c r="L62" s="506" t="s">
        <v>252</v>
      </c>
      <c r="M62" s="506" t="s">
        <v>164</v>
      </c>
      <c r="N62" s="49" t="str">
        <f>IF(AND('331-CT'!$E$7=TH!H62,OR(L62="331",M62="331")),"331",IF(AND(OR(L62="131",M62="131"),H62='131-CT'!$E$7),"131",""))</f>
        <v/>
      </c>
      <c r="O62" s="49" t="str">
        <f>IF(AND($B62&gt;='111'!$N$11,$B62&lt;='111'!$O$11,OR($L62=$O$7,$M62=$O$7)),"x","")</f>
        <v/>
      </c>
      <c r="P62" s="49" t="str">
        <f>IF(AND($L62=$O$7,$B62&lt;'111'!$N$11),"x","")</f>
        <v/>
      </c>
      <c r="Q62" s="49" t="str">
        <f>IF(AND($M62=$O$7,$B62&lt;'111'!$N$11),"x","")</f>
        <v/>
      </c>
      <c r="R62" s="49" t="str">
        <f>IF(ISERROR(FIND('112'!$M$9,G62,1)),"",IF((AND(FIND('112'!$M$9,G62,1)&gt;=1,$B62&gt;='112'!$N$8,$B62&lt;='112'!$O$8,OR($L62='112'!$I$6,$M62='112'!$I$6))),"x",""))</f>
        <v/>
      </c>
      <c r="S62" s="49" t="str">
        <f>IF(ISERROR(FIND('112'!$M$9,G62,1)),"",IF((AND(LEFT(G62,2)=LEFT('112'!$M$9,2),B62&lt;'112'!$N$8,$L62='112'!$I$6)),"x",""))</f>
        <v/>
      </c>
      <c r="T62" s="49" t="str">
        <f>IF(ISERROR(FIND('112'!$M$9,G62,1)),"",IF((AND(RIGHT(G62,2)=RIGHT('112'!$M$9,2),B62&lt;'112'!$N$8,$M62='112'!$I$6)),"x",""))</f>
        <v/>
      </c>
      <c r="U62" s="49" t="str">
        <f>IF(AND(L62="154",'154'!$O$5&lt;=B62,'154'!$P$5&gt;=B62),"154",IF(AND(L62="632",'632'!$L$5&lt;=B62,'632'!$M$5&gt;=B62),"632",IF(AND(L62="642",'642'!$N$5&lt;=B62,'642'!$O$5&gt;=B62),"642",IF(AND(L62="641",'641'!$N$5&lt;=B62,'641'!$O$5&gt;=B62),"641",""))))</f>
        <v/>
      </c>
      <c r="V62" s="49" t="str">
        <f>IF(OR(TH!L62=TH!$V$7,M62=TH!$V$7),"x","")</f>
        <v/>
      </c>
      <c r="W62" s="49" t="str">
        <f>IF(AND(B62&gt;='IN-NX'!$P$3,B62&lt;='IN-NX'!$Q$3,'IN-NX'!$D$7=D62,OR(LEFT(L62,2)="15",AND(LEFT(M62,2)&lt;&gt;"15",LEFT(M62,2)&lt;&gt;"33"))),"x","")</f>
        <v/>
      </c>
      <c r="X62" s="49" t="str">
        <f>IF(AND(OR(LEFT(TH!L62,2)="15",LEFT(TH!M62,2)="15"),'152-CT'!$J$8=TH!F62),"x","")</f>
        <v/>
      </c>
      <c r="Y62" s="49" t="str">
        <f>IF(AND(OR(LEFT(TH!L62,2)="15",LEFT(TH!M62,2)="15"),TK!$E$7=TH!F62),"x","")</f>
        <v/>
      </c>
      <c r="Z62" s="49" t="str">
        <f>IF(AND(B62&lt;=NKC!$N$8,B62&gt;=NKC!$M$8),"x","")</f>
        <v>x</v>
      </c>
      <c r="AA62" s="723"/>
      <c r="AB62" s="497"/>
    </row>
    <row r="63" spans="1:30" s="199" customFormat="1" ht="15.75" hidden="1" customHeight="1">
      <c r="A63" s="724" t="str">
        <f>IF(B63&lt;&gt;"",IF(AND(B63&gt;=_TM1,B63&lt;=_TM2,OR(TH!L63="1111",TH!M63="1111")),TH!D63,""),"")</f>
        <v/>
      </c>
      <c r="B63" s="36">
        <f t="shared" si="5"/>
        <v>9</v>
      </c>
      <c r="C63" s="185">
        <f t="shared" si="6"/>
        <v>41169</v>
      </c>
      <c r="D63" s="178" t="s">
        <v>597</v>
      </c>
      <c r="E63" s="178">
        <v>41169</v>
      </c>
      <c r="F63" s="183" t="s">
        <v>538</v>
      </c>
      <c r="G63" s="732" t="s">
        <v>546</v>
      </c>
      <c r="H63" s="187" t="s">
        <v>481</v>
      </c>
      <c r="I63" s="247"/>
      <c r="J63" s="247"/>
      <c r="K63" s="505">
        <v>618000</v>
      </c>
      <c r="L63" s="506" t="s">
        <v>252</v>
      </c>
      <c r="M63" s="506" t="s">
        <v>297</v>
      </c>
      <c r="N63" s="49" t="str">
        <f>IF(AND('331-CT'!$E$7=TH!H63,OR(L63="331",M63="331")),"331",IF(AND(OR(L63="131",M63="131"),H63='131-CT'!$E$7),"131",""))</f>
        <v/>
      </c>
      <c r="O63" s="49" t="str">
        <f>IF(AND($B63&gt;='111'!$N$11,$B63&lt;='111'!$O$11,OR($L63=$O$7,$M63=$O$7)),"x","")</f>
        <v/>
      </c>
      <c r="P63" s="49" t="str">
        <f>IF(AND($L63=$O$7,$B63&lt;'111'!$N$11),"x","")</f>
        <v/>
      </c>
      <c r="Q63" s="49" t="str">
        <f>IF(AND($M63=$O$7,$B63&lt;'111'!$N$11),"x","")</f>
        <v/>
      </c>
      <c r="R63" s="49" t="str">
        <f>IF(ISERROR(FIND('112'!$M$9,G63,1)),"",IF((AND(FIND('112'!$M$9,G63,1)&gt;=1,$B63&gt;='112'!$N$8,$B63&lt;='112'!$O$8,OR($L63='112'!$I$6,$M63='112'!$I$6))),"x",""))</f>
        <v/>
      </c>
      <c r="S63" s="49" t="str">
        <f>IF(ISERROR(FIND('112'!$M$9,G63,1)),"",IF((AND(LEFT(G63,2)=LEFT('112'!$M$9,2),B63&lt;'112'!$N$8,$L63='112'!$I$6)),"x",""))</f>
        <v/>
      </c>
      <c r="T63" s="49" t="str">
        <f>IF(ISERROR(FIND('112'!$M$9,G63,1)),"",IF((AND(RIGHT(G63,2)=RIGHT('112'!$M$9,2),B63&lt;'112'!$N$8,$M63='112'!$I$6)),"x",""))</f>
        <v/>
      </c>
      <c r="U63" s="49" t="str">
        <f>IF(AND(L63="154",'154'!$O$5&lt;=B63,'154'!$P$5&gt;=B63),"154",IF(AND(L63="632",'632'!$L$5&lt;=B63,'632'!$M$5&gt;=B63),"632",IF(AND(L63="642",'642'!$N$5&lt;=B63,'642'!$O$5&gt;=B63),"642",IF(AND(L63="641",'641'!$N$5&lt;=B63,'641'!$O$5&gt;=B63),"641",""))))</f>
        <v/>
      </c>
      <c r="V63" s="49" t="str">
        <f>IF(OR(TH!L63=TH!$V$7,M63=TH!$V$7),"x","")</f>
        <v/>
      </c>
      <c r="W63" s="49" t="str">
        <f>IF(AND(B63&gt;='IN-NX'!$P$3,B63&lt;='IN-NX'!$Q$3,'IN-NX'!$D$7=D63,OR(LEFT(L63,2)="15",AND(LEFT(M63,2)&lt;&gt;"15",LEFT(M63,2)&lt;&gt;"33"))),"x","")</f>
        <v/>
      </c>
      <c r="X63" s="49" t="str">
        <f>IF(AND(OR(LEFT(TH!L63,2)="15",LEFT(TH!M63,2)="15"),'152-CT'!$J$8=TH!F63),"x","")</f>
        <v/>
      </c>
      <c r="Y63" s="49" t="str">
        <f>IF(AND(OR(LEFT(TH!L63,2)="15",LEFT(TH!M63,2)="15"),TK!$E$7=TH!F63),"x","")</f>
        <v/>
      </c>
      <c r="Z63" s="49" t="str">
        <f>IF(AND(B63&lt;=NKC!$N$8,B63&gt;=NKC!$M$8),"x","")</f>
        <v>x</v>
      </c>
      <c r="AA63" s="723"/>
      <c r="AB63" s="497"/>
    </row>
    <row r="64" spans="1:30" s="199" customFormat="1" ht="15.75" hidden="1" customHeight="1">
      <c r="A64" s="724" t="str">
        <f>IF(B64&lt;&gt;"",IF(AND(B64&gt;=_TM1,B64&lt;=_TM2,OR(TH!L64="1111",TH!M64="1111")),TH!D64,""),"")</f>
        <v/>
      </c>
      <c r="B64" s="36">
        <f t="shared" si="5"/>
        <v>9</v>
      </c>
      <c r="C64" s="185">
        <f t="shared" si="6"/>
        <v>41169</v>
      </c>
      <c r="D64" s="178" t="s">
        <v>597</v>
      </c>
      <c r="E64" s="178">
        <v>41169</v>
      </c>
      <c r="F64" s="183" t="s">
        <v>476</v>
      </c>
      <c r="G64" s="732" t="s">
        <v>546</v>
      </c>
      <c r="H64" s="187" t="s">
        <v>481</v>
      </c>
      <c r="I64" s="247"/>
      <c r="J64" s="247"/>
      <c r="K64" s="505">
        <v>6798000</v>
      </c>
      <c r="L64" s="506" t="s">
        <v>47</v>
      </c>
      <c r="M64" s="506" t="s">
        <v>252</v>
      </c>
      <c r="N64" s="49" t="str">
        <f>IF(AND('331-CT'!$E$7=TH!H64,OR(L64="331",M64="331")),"331",IF(AND(OR(L64="131",M64="131"),H64='131-CT'!$E$7),"131",""))</f>
        <v/>
      </c>
      <c r="O64" s="49" t="str">
        <f>IF(AND($B64&gt;='111'!$N$11,$B64&lt;='111'!$O$11,OR($L64=$O$7,$M64=$O$7)),"x","")</f>
        <v/>
      </c>
      <c r="P64" s="49" t="str">
        <f>IF(AND($L64=$O$7,$B64&lt;'111'!$N$11),"x","")</f>
        <v>x</v>
      </c>
      <c r="Q64" s="49" t="str">
        <f>IF(AND($M64=$O$7,$B64&lt;'111'!$N$11),"x","")</f>
        <v/>
      </c>
      <c r="R64" s="49" t="str">
        <f>IF(ISERROR(FIND('112'!$M$9,G64,1)),"",IF((AND(FIND('112'!$M$9,G64,1)&gt;=1,$B64&gt;='112'!$N$8,$B64&lt;='112'!$O$8,OR($L64='112'!$I$6,$M64='112'!$I$6))),"x",""))</f>
        <v/>
      </c>
      <c r="S64" s="49" t="str">
        <f>IF(ISERROR(FIND('112'!$M$9,G64,1)),"",IF((AND(LEFT(G64,2)=LEFT('112'!$M$9,2),B64&lt;'112'!$N$8,$L64='112'!$I$6)),"x",""))</f>
        <v/>
      </c>
      <c r="T64" s="49" t="str">
        <f>IF(ISERROR(FIND('112'!$M$9,G64,1)),"",IF((AND(RIGHT(G64,2)=RIGHT('112'!$M$9,2),B64&lt;'112'!$N$8,$M64='112'!$I$6)),"x",""))</f>
        <v/>
      </c>
      <c r="U64" s="49" t="str">
        <f>IF(AND(L64="154",'154'!$O$5&lt;=B64,'154'!$P$5&gt;=B64),"154",IF(AND(L64="632",'632'!$L$5&lt;=B64,'632'!$M$5&gt;=B64),"632",IF(AND(L64="642",'642'!$N$5&lt;=B64,'642'!$O$5&gt;=B64),"642",IF(AND(L64="641",'641'!$N$5&lt;=B64,'641'!$O$5&gt;=B64),"641",""))))</f>
        <v/>
      </c>
      <c r="V64" s="49" t="str">
        <f>IF(OR(TH!L64=TH!$V$7,M64=TH!$V$7),"x","")</f>
        <v/>
      </c>
      <c r="W64" s="49" t="str">
        <f>IF(AND(B64&gt;='IN-NX'!$P$3,B64&lt;='IN-NX'!$Q$3,'IN-NX'!$D$7=D64,OR(LEFT(L64,2)="15",AND(LEFT(M64,2)&lt;&gt;"15",LEFT(M64,2)&lt;&gt;"33"))),"x","")</f>
        <v/>
      </c>
      <c r="X64" s="49" t="str">
        <f>IF(AND(OR(LEFT(TH!L64,2)="15",LEFT(TH!M64,2)="15"),'152-CT'!$J$8=TH!F64),"x","")</f>
        <v/>
      </c>
      <c r="Y64" s="49" t="str">
        <f>IF(AND(OR(LEFT(TH!L64,2)="15",LEFT(TH!M64,2)="15"),TK!$E$7=TH!F64),"x","")</f>
        <v/>
      </c>
      <c r="Z64" s="49" t="str">
        <f>IF(AND(B64&lt;=NKC!$N$8,B64&gt;=NKC!$M$8),"x","")</f>
        <v>x</v>
      </c>
      <c r="AA64" s="723"/>
      <c r="AB64" s="497"/>
    </row>
    <row r="65" spans="1:30" s="199" customFormat="1" ht="15.75" hidden="1" customHeight="1">
      <c r="A65" s="724" t="str">
        <f>IF(B65&lt;&gt;"",IF(AND(B65&gt;=_TM1,B65&lt;=_TM2,OR(TH!L65="1111",TH!M65="1111")),TH!D65,""),"")</f>
        <v/>
      </c>
      <c r="B65" s="36">
        <f t="shared" si="5"/>
        <v>9</v>
      </c>
      <c r="C65" s="185">
        <f t="shared" si="6"/>
        <v>41171</v>
      </c>
      <c r="D65" s="178" t="s">
        <v>496</v>
      </c>
      <c r="E65" s="178">
        <v>41171</v>
      </c>
      <c r="F65" s="186" t="s">
        <v>379</v>
      </c>
      <c r="G65" s="731" t="s">
        <v>384</v>
      </c>
      <c r="H65" s="198" t="s">
        <v>378</v>
      </c>
      <c r="I65" s="247"/>
      <c r="J65" s="247"/>
      <c r="K65" s="37">
        <f>97273+136364</f>
        <v>233637</v>
      </c>
      <c r="L65" s="188" t="s">
        <v>83</v>
      </c>
      <c r="M65" s="188" t="s">
        <v>47</v>
      </c>
      <c r="N65" s="49" t="str">
        <f>IF(AND('331-CT'!$E$7=TH!H65,OR(L65="331",M65="331")),"331",IF(AND(OR(L65="131",M65="131"),H65='131-CT'!$E$7),"131",""))</f>
        <v/>
      </c>
      <c r="O65" s="49" t="str">
        <f>IF(AND($B65&gt;='111'!$N$11,$B65&lt;='111'!$O$11,OR($L65=$O$7,$M65=$O$7)),"x","")</f>
        <v/>
      </c>
      <c r="P65" s="49" t="str">
        <f>IF(AND($L65=$O$7,$B65&lt;'111'!$N$11),"x","")</f>
        <v/>
      </c>
      <c r="Q65" s="49" t="str">
        <f>IF(AND($M65=$O$7,$B65&lt;'111'!$N$11),"x","")</f>
        <v>x</v>
      </c>
      <c r="R65" s="49" t="str">
        <f>IF(ISERROR(FIND('112'!$M$9,G65,1)),"",IF((AND(FIND('112'!$M$9,G65,1)&gt;=1,$B65&gt;='112'!$N$8,$B65&lt;='112'!$O$8,OR($L65='112'!$I$6,$M65='112'!$I$6))),"x",""))</f>
        <v/>
      </c>
      <c r="S65" s="49" t="str">
        <f>IF(ISERROR(FIND('112'!$M$9,G65,1)),"",IF((AND(LEFT(G65,2)=LEFT('112'!$M$9,2),B65&lt;'112'!$N$8,$L65='112'!$I$6)),"x",""))</f>
        <v/>
      </c>
      <c r="T65" s="49" t="str">
        <f>IF(ISERROR(FIND('112'!$M$9,G65,1)),"",IF((AND(RIGHT(G65,2)=RIGHT('112'!$M$9,2),B65&lt;'112'!$N$8,$M65='112'!$I$6)),"x",""))</f>
        <v/>
      </c>
      <c r="U65" s="49" t="str">
        <f>IF(AND(L65="154",'154'!$O$5&lt;=B65,'154'!$P$5&gt;=B65),"154",IF(AND(L65="632",'632'!$L$5&lt;=B65,'632'!$M$5&gt;=B65),"632",IF(AND(L65="642",'642'!$N$5&lt;=B65,'642'!$O$5&gt;=B65),"642",IF(AND(L65="641",'641'!$N$5&lt;=B65,'641'!$O$5&gt;=B65),"641",""))))</f>
        <v/>
      </c>
      <c r="V65" s="49" t="str">
        <f>IF(OR(TH!L65=TH!$V$7,M65=TH!$V$7),"x","")</f>
        <v/>
      </c>
      <c r="W65" s="49" t="str">
        <f>IF(AND(B65&gt;='IN-NX'!$P$3,B65&lt;='IN-NX'!$Q$3,'IN-NX'!$D$7=D65,OR(LEFT(L65,2)="15",AND(LEFT(M65,2)&lt;&gt;"15",LEFT(M65,2)&lt;&gt;"33"))),"x","")</f>
        <v/>
      </c>
      <c r="X65" s="49" t="str">
        <f>IF(AND(OR(LEFT(TH!L65,2)="15",LEFT(TH!M65,2)="15"),'152-CT'!$J$8=TH!F65),"x","")</f>
        <v/>
      </c>
      <c r="Y65" s="49" t="str">
        <f>IF(AND(OR(LEFT(TH!L65,2)="15",LEFT(TH!M65,2)="15"),TK!$E$7=TH!F65),"x","")</f>
        <v/>
      </c>
      <c r="Z65" s="49" t="str">
        <f>IF(AND(B65&lt;=NKC!$N$8,B65&gt;=NKC!$M$8),"x","")</f>
        <v>x</v>
      </c>
      <c r="AA65" s="723"/>
      <c r="AB65" s="497"/>
    </row>
    <row r="66" spans="1:30" s="199" customFormat="1" ht="15.75" customHeight="1">
      <c r="A66" s="724" t="str">
        <f>IF(B66&lt;&gt;"",IF(AND(B66&gt;=_TM1,B66&lt;=_TM2,OR(TH!L66="1111",TH!M66="1111")),TH!D66,""),"")</f>
        <v/>
      </c>
      <c r="B66" s="36">
        <f t="shared" si="5"/>
        <v>9</v>
      </c>
      <c r="C66" s="185">
        <f t="shared" si="6"/>
        <v>41171</v>
      </c>
      <c r="D66" s="178" t="s">
        <v>496</v>
      </c>
      <c r="E66" s="178">
        <v>41171</v>
      </c>
      <c r="F66" s="186" t="s">
        <v>380</v>
      </c>
      <c r="G66" s="731" t="s">
        <v>384</v>
      </c>
      <c r="H66" s="198" t="s">
        <v>378</v>
      </c>
      <c r="I66" s="247"/>
      <c r="J66" s="247"/>
      <c r="K66" s="37">
        <f>9727+13636</f>
        <v>23363</v>
      </c>
      <c r="L66" s="188" t="s">
        <v>9</v>
      </c>
      <c r="M66" s="188" t="s">
        <v>47</v>
      </c>
      <c r="N66" s="49" t="str">
        <f>IF(AND('331-CT'!$E$7=TH!H66,OR(L66="331",M66="331")),"331",IF(AND(OR(L66="131",M66="131"),H66='131-CT'!$E$7),"131",""))</f>
        <v/>
      </c>
      <c r="O66" s="49" t="str">
        <f>IF(AND($B66&gt;='111'!$N$11,$B66&lt;='111'!$O$11,OR($L66=$O$7,$M66=$O$7)),"x","")</f>
        <v/>
      </c>
      <c r="P66" s="49" t="str">
        <f>IF(AND($L66=$O$7,$B66&lt;'111'!$N$11),"x","")</f>
        <v/>
      </c>
      <c r="Q66" s="49" t="str">
        <f>IF(AND($M66=$O$7,$B66&lt;'111'!$N$11),"x","")</f>
        <v>x</v>
      </c>
      <c r="R66" s="49" t="str">
        <f>IF(ISERROR(FIND('112'!$M$9,G66,1)),"",IF((AND(FIND('112'!$M$9,G66,1)&gt;=1,$B66&gt;='112'!$N$8,$B66&lt;='112'!$O$8,OR($L66='112'!$I$6,$M66='112'!$I$6))),"x",""))</f>
        <v/>
      </c>
      <c r="S66" s="49" t="str">
        <f>IF(ISERROR(FIND('112'!$M$9,G66,1)),"",IF((AND(LEFT(G66,2)=LEFT('112'!$M$9,2),B66&lt;'112'!$N$8,$L66='112'!$I$6)),"x",""))</f>
        <v/>
      </c>
      <c r="T66" s="49" t="str">
        <f>IF(ISERROR(FIND('112'!$M$9,G66,1)),"",IF((AND(RIGHT(G66,2)=RIGHT('112'!$M$9,2),B66&lt;'112'!$N$8,$M66='112'!$I$6)),"x",""))</f>
        <v/>
      </c>
      <c r="U66" s="49" t="str">
        <f>IF(AND(L66="154",'154'!$O$5&lt;=B66,'154'!$P$5&gt;=B66),"154",IF(AND(L66="632",'632'!$L$5&lt;=B66,'632'!$M$5&gt;=B66),"632",IF(AND(L66="642",'642'!$N$5&lt;=B66,'642'!$O$5&gt;=B66),"642",IF(AND(L66="641",'641'!$N$5&lt;=B66,'641'!$O$5&gt;=B66),"641",""))))</f>
        <v/>
      </c>
      <c r="V66" s="49" t="str">
        <f>IF(OR(TH!L66=TH!$V$7,M66=TH!$V$7),"x","")</f>
        <v>x</v>
      </c>
      <c r="W66" s="49" t="str">
        <f>IF(AND(B66&gt;='IN-NX'!$P$3,B66&lt;='IN-NX'!$Q$3,'IN-NX'!$D$7=D66,OR(LEFT(L66,2)="15",AND(LEFT(M66,2)&lt;&gt;"15",LEFT(M66,2)&lt;&gt;"33"))),"x","")</f>
        <v/>
      </c>
      <c r="X66" s="49" t="str">
        <f>IF(AND(OR(LEFT(TH!L66,2)="15",LEFT(TH!M66,2)="15"),'152-CT'!$J$8=TH!F66),"x","")</f>
        <v/>
      </c>
      <c r="Y66" s="49" t="str">
        <f>IF(AND(OR(LEFT(TH!L66,2)="15",LEFT(TH!M66,2)="15"),TK!$E$7=TH!F66),"x","")</f>
        <v/>
      </c>
      <c r="Z66" s="49" t="str">
        <f>IF(AND(B66&lt;=NKC!$N$8,B66&gt;=NKC!$M$8),"x","")</f>
        <v>x</v>
      </c>
      <c r="AA66" s="723">
        <v>9</v>
      </c>
      <c r="AB66" s="497"/>
    </row>
    <row r="67" spans="1:30" s="199" customFormat="1" ht="15.75" hidden="1" customHeight="1">
      <c r="A67" s="724" t="str">
        <f>IF(B67&lt;&gt;"",IF(AND(B67&gt;=_TM1,B67&lt;=_TM2,OR(TH!L67="1111",TH!M67="1111")),TH!D67,""),"")</f>
        <v/>
      </c>
      <c r="B67" s="36">
        <f t="shared" si="5"/>
        <v>9</v>
      </c>
      <c r="C67" s="185">
        <f t="shared" si="6"/>
        <v>41172</v>
      </c>
      <c r="D67" s="185" t="s">
        <v>503</v>
      </c>
      <c r="E67" s="178">
        <v>41172</v>
      </c>
      <c r="F67" s="183" t="s">
        <v>407</v>
      </c>
      <c r="G67" s="731" t="s">
        <v>406</v>
      </c>
      <c r="H67" s="7" t="s">
        <v>390</v>
      </c>
      <c r="I67" s="247">
        <v>500</v>
      </c>
      <c r="J67" s="247">
        <v>10286</v>
      </c>
      <c r="K67" s="37">
        <f>ROUND(I67*J67,0)</f>
        <v>5143000</v>
      </c>
      <c r="L67" s="188" t="s">
        <v>375</v>
      </c>
      <c r="M67" s="188" t="s">
        <v>8</v>
      </c>
      <c r="N67" s="49" t="str">
        <f>IF(AND('331-CT'!$E$7=TH!H67,OR(L67="331",M67="331")),"331",IF(AND(OR(L67="131",M67="131"),H67='131-CT'!$E$7),"131",""))</f>
        <v>331</v>
      </c>
      <c r="O67" s="49" t="str">
        <f>IF(AND($B67&gt;='111'!$N$11,$B67&lt;='111'!$O$11,OR($L67=$O$7,$M67=$O$7)),"x","")</f>
        <v/>
      </c>
      <c r="P67" s="49" t="str">
        <f>IF(AND($L67=$O$7,$B67&lt;'111'!$N$11),"x","")</f>
        <v/>
      </c>
      <c r="Q67" s="49" t="str">
        <f>IF(AND($M67=$O$7,$B67&lt;'111'!$N$11),"x","")</f>
        <v/>
      </c>
      <c r="R67" s="49" t="str">
        <f>IF(ISERROR(FIND('112'!$M$9,G67,1)),"",IF((AND(FIND('112'!$M$9,G67,1)&gt;=1,$B67&gt;='112'!$N$8,$B67&lt;='112'!$O$8,OR($L67='112'!$I$6,$M67='112'!$I$6))),"x",""))</f>
        <v/>
      </c>
      <c r="S67" s="49" t="str">
        <f>IF(ISERROR(FIND('112'!$M$9,G67,1)),"",IF((AND(LEFT(G67,2)=LEFT('112'!$M$9,2),B67&lt;'112'!$N$8,$L67='112'!$I$6)),"x",""))</f>
        <v/>
      </c>
      <c r="T67" s="49" t="str">
        <f>IF(ISERROR(FIND('112'!$M$9,G67,1)),"",IF((AND(RIGHT(G67,2)=RIGHT('112'!$M$9,2),B67&lt;'112'!$N$8,$M67='112'!$I$6)),"x",""))</f>
        <v/>
      </c>
      <c r="U67" s="49" t="str">
        <f>IF(AND(L67="154",'154'!$O$5&lt;=B67,'154'!$P$5&gt;=B67),"154",IF(AND(L67="632",'632'!$L$5&lt;=B67,'632'!$M$5&gt;=B67),"632",IF(AND(L67="642",'642'!$N$5&lt;=B67,'642'!$O$5&gt;=B67),"642",IF(AND(L67="641",'641'!$N$5&lt;=B67,'641'!$O$5&gt;=B67),"641",""))))</f>
        <v/>
      </c>
      <c r="V67" s="49" t="str">
        <f>IF(OR(TH!L67=TH!$V$7,M67=TH!$V$7),"x","")</f>
        <v/>
      </c>
      <c r="W67" s="49" t="str">
        <f>IF(AND(B67&gt;='IN-NX'!$P$3,B67&lt;='IN-NX'!$Q$3,'IN-NX'!$D$7=D67,OR(LEFT(L67,2)="15",AND(LEFT(M67,2)&lt;&gt;"15",LEFT(M67,2)&lt;&gt;"33"))),"x","")</f>
        <v/>
      </c>
      <c r="X67" s="49" t="str">
        <f>IF(AND(OR(LEFT(TH!L67,2)="15",LEFT(TH!M67,2)="15"),'152-CT'!$J$8=TH!F67),"x","")</f>
        <v/>
      </c>
      <c r="Y67" s="49" t="str">
        <f>IF(AND(OR(LEFT(TH!L67,2)="15",LEFT(TH!M67,2)="15"),TK!$E$7=TH!F67),"x","")</f>
        <v/>
      </c>
      <c r="Z67" s="49" t="str">
        <f>IF(AND(B67&lt;=NKC!$N$8,B67&gt;=NKC!$M$8),"x","")</f>
        <v>x</v>
      </c>
      <c r="AA67" s="723"/>
      <c r="AB67" s="497"/>
    </row>
    <row r="68" spans="1:30" s="199" customFormat="1" ht="15.75" customHeight="1">
      <c r="A68" s="724" t="str">
        <f>IF(B68&lt;&gt;"",IF(AND(B68&gt;=_TM1,B68&lt;=_TM2,OR(TH!L68="1111",TH!M68="1111")),TH!D68,""),"")</f>
        <v/>
      </c>
      <c r="B68" s="36">
        <f t="shared" si="5"/>
        <v>9</v>
      </c>
      <c r="C68" s="185">
        <f t="shared" si="6"/>
        <v>41172</v>
      </c>
      <c r="D68" s="185" t="s">
        <v>503</v>
      </c>
      <c r="E68" s="178">
        <v>41172</v>
      </c>
      <c r="F68" s="183" t="s">
        <v>392</v>
      </c>
      <c r="G68" s="731" t="s">
        <v>406</v>
      </c>
      <c r="H68" s="7" t="s">
        <v>390</v>
      </c>
      <c r="I68" s="247"/>
      <c r="J68" s="247"/>
      <c r="K68" s="37">
        <v>514300</v>
      </c>
      <c r="L68" s="188" t="s">
        <v>9</v>
      </c>
      <c r="M68" s="188" t="s">
        <v>8</v>
      </c>
      <c r="N68" s="49" t="str">
        <f>IF(AND('331-CT'!$E$7=TH!H68,OR(L68="331",M68="331")),"331",IF(AND(OR(L68="131",M68="131"),H68='131-CT'!$E$7),"131",""))</f>
        <v>331</v>
      </c>
      <c r="O68" s="49" t="str">
        <f>IF(AND($B68&gt;='111'!$N$11,$B68&lt;='111'!$O$11,OR($L68=$O$7,$M68=$O$7)),"x","")</f>
        <v/>
      </c>
      <c r="P68" s="49" t="str">
        <f>IF(AND($L68=$O$7,$B68&lt;'111'!$N$11),"x","")</f>
        <v/>
      </c>
      <c r="Q68" s="49" t="str">
        <f>IF(AND($M68=$O$7,$B68&lt;'111'!$N$11),"x","")</f>
        <v/>
      </c>
      <c r="R68" s="49" t="str">
        <f>IF(ISERROR(FIND('112'!$M$9,G68,1)),"",IF((AND(FIND('112'!$M$9,G68,1)&gt;=1,$B68&gt;='112'!$N$8,$B68&lt;='112'!$O$8,OR($L68='112'!$I$6,$M68='112'!$I$6))),"x",""))</f>
        <v/>
      </c>
      <c r="S68" s="49" t="str">
        <f>IF(ISERROR(FIND('112'!$M$9,G68,1)),"",IF((AND(LEFT(G68,2)=LEFT('112'!$M$9,2),B68&lt;'112'!$N$8,$L68='112'!$I$6)),"x",""))</f>
        <v/>
      </c>
      <c r="T68" s="49" t="str">
        <f>IF(ISERROR(FIND('112'!$M$9,G68,1)),"",IF((AND(RIGHT(G68,2)=RIGHT('112'!$M$9,2),B68&lt;'112'!$N$8,$M68='112'!$I$6)),"x",""))</f>
        <v/>
      </c>
      <c r="U68" s="49" t="str">
        <f>IF(AND(L68="154",'154'!$O$5&lt;=B68,'154'!$P$5&gt;=B68),"154",IF(AND(L68="632",'632'!$L$5&lt;=B68,'632'!$M$5&gt;=B68),"632",IF(AND(L68="642",'642'!$N$5&lt;=B68,'642'!$O$5&gt;=B68),"642",IF(AND(L68="641",'641'!$N$5&lt;=B68,'641'!$O$5&gt;=B68),"641",""))))</f>
        <v/>
      </c>
      <c r="V68" s="49" t="str">
        <f>IF(OR(TH!L68=TH!$V$7,M68=TH!$V$7),"x","")</f>
        <v>x</v>
      </c>
      <c r="W68" s="49" t="str">
        <f>IF(AND(B68&gt;='IN-NX'!$P$3,B68&lt;='IN-NX'!$Q$3,'IN-NX'!$D$7=D68,OR(LEFT(L68,2)="15",AND(LEFT(M68,2)&lt;&gt;"15",LEFT(M68,2)&lt;&gt;"33"))),"x","")</f>
        <v/>
      </c>
      <c r="X68" s="49" t="str">
        <f>IF(AND(OR(LEFT(TH!L68,2)="15",LEFT(TH!M68,2)="15"),'152-CT'!$J$8=TH!F68),"x","")</f>
        <v/>
      </c>
      <c r="Y68" s="49" t="str">
        <f>IF(AND(OR(LEFT(TH!L68,2)="15",LEFT(TH!M68,2)="15"),TK!$E$7=TH!F68),"x","")</f>
        <v/>
      </c>
      <c r="Z68" s="49" t="str">
        <f>IF(AND(B68&lt;=NKC!$N$8,B68&gt;=NKC!$M$8),"x","")</f>
        <v>x</v>
      </c>
      <c r="AA68" s="723">
        <v>9</v>
      </c>
      <c r="AB68" s="497"/>
    </row>
    <row r="69" spans="1:30" s="199" customFormat="1" ht="15.75" hidden="1" customHeight="1">
      <c r="A69" s="724" t="str">
        <f>IF(B69&lt;&gt;"",IF(AND(B69&gt;=_TM1,B69&lt;=_TM2,OR(TH!L69="1111",TH!M69="1111")),TH!D69,""),"")</f>
        <v/>
      </c>
      <c r="B69" s="36">
        <f t="shared" si="5"/>
        <v>9</v>
      </c>
      <c r="C69" s="185">
        <f t="shared" si="6"/>
        <v>41172</v>
      </c>
      <c r="D69" s="178" t="s">
        <v>497</v>
      </c>
      <c r="E69" s="178">
        <v>41172</v>
      </c>
      <c r="F69" s="183" t="s">
        <v>486</v>
      </c>
      <c r="G69" s="731" t="s">
        <v>406</v>
      </c>
      <c r="H69" s="7" t="s">
        <v>390</v>
      </c>
      <c r="I69" s="247"/>
      <c r="J69" s="247"/>
      <c r="K69" s="37">
        <v>5657300</v>
      </c>
      <c r="L69" s="188" t="s">
        <v>8</v>
      </c>
      <c r="M69" s="188" t="s">
        <v>47</v>
      </c>
      <c r="N69" s="49" t="str">
        <f>IF(AND('331-CT'!$E$7=TH!H69,OR(L69="331",M69="331")),"331",IF(AND(OR(L69="131",M69="131"),H69='131-CT'!$E$7),"131",""))</f>
        <v>331</v>
      </c>
      <c r="O69" s="49" t="str">
        <f>IF(AND($B69&gt;='111'!$N$11,$B69&lt;='111'!$O$11,OR($L69=$O$7,$M69=$O$7)),"x","")</f>
        <v/>
      </c>
      <c r="P69" s="49" t="str">
        <f>IF(AND($L69=$O$7,$B69&lt;'111'!$N$11),"x","")</f>
        <v/>
      </c>
      <c r="Q69" s="49" t="str">
        <f>IF(AND($M69=$O$7,$B69&lt;'111'!$N$11),"x","")</f>
        <v>x</v>
      </c>
      <c r="R69" s="49" t="str">
        <f>IF(ISERROR(FIND('112'!$M$9,G69,1)),"",IF((AND(FIND('112'!$M$9,G69,1)&gt;=1,$B69&gt;='112'!$N$8,$B69&lt;='112'!$O$8,OR($L69='112'!$I$6,$M69='112'!$I$6))),"x",""))</f>
        <v/>
      </c>
      <c r="S69" s="49" t="str">
        <f>IF(ISERROR(FIND('112'!$M$9,G69,1)),"",IF((AND(LEFT(G69,2)=LEFT('112'!$M$9,2),B69&lt;'112'!$N$8,$L69='112'!$I$6)),"x",""))</f>
        <v/>
      </c>
      <c r="T69" s="49" t="str">
        <f>IF(ISERROR(FIND('112'!$M$9,G69,1)),"",IF((AND(RIGHT(G69,2)=RIGHT('112'!$M$9,2),B69&lt;'112'!$N$8,$M69='112'!$I$6)),"x",""))</f>
        <v/>
      </c>
      <c r="U69" s="49" t="str">
        <f>IF(AND(L69="154",'154'!$O$5&lt;=B69,'154'!$P$5&gt;=B69),"154",IF(AND(L69="632",'632'!$L$5&lt;=B69,'632'!$M$5&gt;=B69),"632",IF(AND(L69="642",'642'!$N$5&lt;=B69,'642'!$O$5&gt;=B69),"642",IF(AND(L69="641",'641'!$N$5&lt;=B69,'641'!$O$5&gt;=B69),"641",""))))</f>
        <v/>
      </c>
      <c r="V69" s="49" t="str">
        <f>IF(OR(TH!L69=TH!$V$7,M69=TH!$V$7),"x","")</f>
        <v/>
      </c>
      <c r="W69" s="49" t="str">
        <f>IF(AND(B69&gt;='IN-NX'!$P$3,B69&lt;='IN-NX'!$Q$3,'IN-NX'!$D$7=D69,OR(LEFT(L69,2)="15",AND(LEFT(M69,2)&lt;&gt;"15",LEFT(M69,2)&lt;&gt;"33"))),"x","")</f>
        <v/>
      </c>
      <c r="X69" s="49" t="str">
        <f>IF(AND(OR(LEFT(TH!L69,2)="15",LEFT(TH!M69,2)="15"),'152-CT'!$J$8=TH!F69),"x","")</f>
        <v/>
      </c>
      <c r="Y69" s="49" t="str">
        <f>IF(AND(OR(LEFT(TH!L69,2)="15",LEFT(TH!M69,2)="15"),TK!$E$7=TH!F69),"x","")</f>
        <v/>
      </c>
      <c r="Z69" s="49" t="str">
        <f>IF(AND(B69&lt;=NKC!$N$8,B69&gt;=NKC!$M$8),"x","")</f>
        <v>x</v>
      </c>
      <c r="AA69" s="723"/>
      <c r="AB69" s="497"/>
    </row>
    <row r="70" spans="1:30" s="199" customFormat="1" ht="15.75" hidden="1" customHeight="1">
      <c r="A70" s="724" t="str">
        <f>IF(B70&lt;&gt;"",IF(AND(B70&gt;=_TM1,B70&lt;=_TM2,OR(TH!L70="1111",TH!M70="1111")),TH!D70,""),"")</f>
        <v/>
      </c>
      <c r="B70" s="36">
        <f t="shared" si="5"/>
        <v>9</v>
      </c>
      <c r="C70" s="185">
        <f t="shared" si="6"/>
        <v>41177</v>
      </c>
      <c r="D70" s="178" t="s">
        <v>473</v>
      </c>
      <c r="E70" s="178">
        <v>41177</v>
      </c>
      <c r="F70" s="183" t="s">
        <v>480</v>
      </c>
      <c r="G70" s="731" t="s">
        <v>374</v>
      </c>
      <c r="H70" s="187"/>
      <c r="I70" s="247"/>
      <c r="J70" s="247"/>
      <c r="K70" s="505">
        <v>9576</v>
      </c>
      <c r="L70" s="506" t="s">
        <v>24</v>
      </c>
      <c r="M70" s="506" t="s">
        <v>40</v>
      </c>
      <c r="N70" s="49" t="str">
        <f>IF(AND('331-CT'!$E$7=TH!H70,OR(L70="331",M70="331")),"331",IF(AND(OR(L70="131",M70="131"),H70='131-CT'!$E$7),"131",""))</f>
        <v/>
      </c>
      <c r="O70" s="49" t="str">
        <f>IF(AND($B70&gt;='111'!$N$11,$B70&lt;='111'!$O$11,OR($L70=$O$7,$M70=$O$7)),"x","")</f>
        <v/>
      </c>
      <c r="P70" s="49" t="str">
        <f>IF(AND($L70=$O$7,$B70&lt;'111'!$N$11),"x","")</f>
        <v/>
      </c>
      <c r="Q70" s="49" t="str">
        <f>IF(AND($M70=$O$7,$B70&lt;'111'!$N$11),"x","")</f>
        <v/>
      </c>
      <c r="R70" s="49" t="str">
        <f>IF(ISERROR(FIND('112'!$M$9,G70,1)),"",IF((AND(FIND('112'!$M$9,G70,1)&gt;=1,$B70&gt;='112'!$N$8,$B70&lt;='112'!$O$8,OR($L70='112'!$I$6,$M70='112'!$I$6))),"x",""))</f>
        <v/>
      </c>
      <c r="S70" s="49" t="str">
        <f>IF(ISERROR(FIND('112'!$M$9,G70,1)),"",IF((AND(LEFT(G70,2)=LEFT('112'!$M$9,2),B70&lt;'112'!$N$8,$L70='112'!$I$6)),"x",""))</f>
        <v>x</v>
      </c>
      <c r="T70" s="49" t="str">
        <f>IF(ISERROR(FIND('112'!$M$9,G70,1)),"",IF((AND(RIGHT(G70,2)=RIGHT('112'!$M$9,2),B70&lt;'112'!$N$8,$M70='112'!$I$6)),"x",""))</f>
        <v/>
      </c>
      <c r="U70" s="49" t="str">
        <f>IF(AND(L70="154",'154'!$O$5&lt;=B70,'154'!$P$5&gt;=B70),"154",IF(AND(L70="632",'632'!$L$5&lt;=B70,'632'!$M$5&gt;=B70),"632",IF(AND(L70="642",'642'!$N$5&lt;=B70,'642'!$O$5&gt;=B70),"642",IF(AND(L70="641",'641'!$N$5&lt;=B70,'641'!$O$5&gt;=B70),"641",""))))</f>
        <v/>
      </c>
      <c r="V70" s="49" t="str">
        <f>IF(OR(TH!L70=TH!$V$7,M70=TH!$V$7),"x","")</f>
        <v/>
      </c>
      <c r="W70" s="49" t="str">
        <f>IF(AND(B70&gt;='IN-NX'!$P$3,B70&lt;='IN-NX'!$Q$3,'IN-NX'!$D$7=D70,OR(LEFT(L70,2)="15",AND(LEFT(M70,2)&lt;&gt;"15",LEFT(M70,2)&lt;&gt;"33"))),"x","")</f>
        <v/>
      </c>
      <c r="X70" s="49" t="str">
        <f>IF(AND(OR(LEFT(TH!L70,2)="15",LEFT(TH!M70,2)="15"),'152-CT'!$J$8=TH!F70),"x","")</f>
        <v/>
      </c>
      <c r="Y70" s="49" t="str">
        <f>IF(AND(OR(LEFT(TH!L70,2)="15",LEFT(TH!M70,2)="15"),TK!$E$7=TH!F70),"x","")</f>
        <v/>
      </c>
      <c r="Z70" s="49" t="str">
        <f>IF(AND(B70&lt;=NKC!$N$8,B70&gt;=NKC!$M$8),"x","")</f>
        <v>x</v>
      </c>
      <c r="AA70" s="723"/>
      <c r="AB70" s="497"/>
      <c r="AC70" s="497"/>
      <c r="AD70" s="497"/>
    </row>
    <row r="71" spans="1:30" s="199" customFormat="1" ht="15.75" hidden="1" customHeight="1">
      <c r="A71" s="724" t="str">
        <f>IF(B71&lt;&gt;"",IF(AND(B71&gt;=_TM1,B71&lt;=_TM2,OR(TH!L71="1111",TH!M71="1111")),TH!D71,""),"")</f>
        <v/>
      </c>
      <c r="B71" s="36">
        <f t="shared" si="5"/>
        <v>9</v>
      </c>
      <c r="C71" s="185">
        <f t="shared" si="6"/>
        <v>41177</v>
      </c>
      <c r="D71" s="178" t="s">
        <v>485</v>
      </c>
      <c r="E71" s="178">
        <v>41177</v>
      </c>
      <c r="F71" s="183" t="s">
        <v>475</v>
      </c>
      <c r="G71" s="731" t="s">
        <v>374</v>
      </c>
      <c r="H71" s="187"/>
      <c r="I71" s="247"/>
      <c r="J71" s="247"/>
      <c r="K71" s="505">
        <v>11000</v>
      </c>
      <c r="L71" s="506" t="s">
        <v>83</v>
      </c>
      <c r="M71" s="506" t="s">
        <v>24</v>
      </c>
      <c r="N71" s="49" t="str">
        <f>IF(AND('331-CT'!$E$7=TH!H71,OR(L71="331",M71="331")),"331",IF(AND(OR(L71="131",M71="131"),H71='131-CT'!$E$7),"131",""))</f>
        <v/>
      </c>
      <c r="O71" s="49" t="str">
        <f>IF(AND($B71&gt;='111'!$N$11,$B71&lt;='111'!$O$11,OR($L71=$O$7,$M71=$O$7)),"x","")</f>
        <v/>
      </c>
      <c r="P71" s="49" t="str">
        <f>IF(AND($L71=$O$7,$B71&lt;'111'!$N$11),"x","")</f>
        <v/>
      </c>
      <c r="Q71" s="49" t="str">
        <f>IF(AND($M71=$O$7,$B71&lt;'111'!$N$11),"x","")</f>
        <v/>
      </c>
      <c r="R71" s="49" t="str">
        <f>IF(ISERROR(FIND('112'!$M$9,G71,1)),"",IF((AND(FIND('112'!$M$9,G71,1)&gt;=1,$B71&gt;='112'!$N$8,$B71&lt;='112'!$O$8,OR($L71='112'!$I$6,$M71='112'!$I$6))),"x",""))</f>
        <v/>
      </c>
      <c r="S71" s="49" t="str">
        <f>IF(ISERROR(FIND('112'!$M$9,G71,1)),"",IF((AND(LEFT(G71,2)=LEFT('112'!$M$9,2),B71&lt;'112'!$N$8,$L71='112'!$I$6)),"x",""))</f>
        <v/>
      </c>
      <c r="T71" s="49" t="str">
        <f>IF(ISERROR(FIND('112'!$M$9,G71,1)),"",IF((AND(RIGHT(G71,2)=RIGHT('112'!$M$9,2),B71&lt;'112'!$N$8,$M71='112'!$I$6)),"x",""))</f>
        <v>x</v>
      </c>
      <c r="U71" s="49" t="str">
        <f>IF(AND(L71="154",'154'!$O$5&lt;=B71,'154'!$P$5&gt;=B71),"154",IF(AND(L71="632",'632'!$L$5&lt;=B71,'632'!$M$5&gt;=B71),"632",IF(AND(L71="642",'642'!$N$5&lt;=B71,'642'!$O$5&gt;=B71),"642",IF(AND(L71="641",'641'!$N$5&lt;=B71,'641'!$O$5&gt;=B71),"641",""))))</f>
        <v/>
      </c>
      <c r="V71" s="49" t="str">
        <f>IF(OR(TH!L71=TH!$V$7,M71=TH!$V$7),"x","")</f>
        <v/>
      </c>
      <c r="W71" s="49" t="str">
        <f>IF(AND(B71&gt;='IN-NX'!$P$3,B71&lt;='IN-NX'!$Q$3,'IN-NX'!$D$7=D71,OR(LEFT(L71,2)="15",AND(LEFT(M71,2)&lt;&gt;"15",LEFT(M71,2)&lt;&gt;"33"))),"x","")</f>
        <v/>
      </c>
      <c r="X71" s="49" t="str">
        <f>IF(AND(OR(LEFT(TH!L71,2)="15",LEFT(TH!M71,2)="15"),'152-CT'!$J$8=TH!F71),"x","")</f>
        <v/>
      </c>
      <c r="Y71" s="49" t="str">
        <f>IF(AND(OR(LEFT(TH!L71,2)="15",LEFT(TH!M71,2)="15"),TK!$E$7=TH!F71),"x","")</f>
        <v/>
      </c>
      <c r="Z71" s="49" t="str">
        <f>IF(AND(B71&lt;=NKC!$N$8,B71&gt;=NKC!$M$8),"x","")</f>
        <v>x</v>
      </c>
      <c r="AA71" s="723"/>
      <c r="AB71" s="497"/>
      <c r="AD71" s="497"/>
    </row>
    <row r="72" spans="1:30" s="199" customFormat="1" ht="15.75" hidden="1" customHeight="1">
      <c r="A72" s="724" t="str">
        <f>IF(B72&lt;&gt;"",IF(AND(B72&gt;=_TM1,B72&lt;=_TM2,OR(TH!L72="1111",TH!M72="1111")),TH!D72,""),"")</f>
        <v/>
      </c>
      <c r="B72" s="36">
        <f t="shared" si="5"/>
        <v>9</v>
      </c>
      <c r="C72" s="185">
        <f t="shared" si="6"/>
        <v>41178</v>
      </c>
      <c r="D72" s="178" t="s">
        <v>598</v>
      </c>
      <c r="E72" s="178">
        <v>41178</v>
      </c>
      <c r="F72" s="183" t="s">
        <v>547</v>
      </c>
      <c r="G72" s="732" t="s">
        <v>548</v>
      </c>
      <c r="H72" s="187" t="s">
        <v>481</v>
      </c>
      <c r="I72" s="247">
        <v>1020</v>
      </c>
      <c r="J72" s="247">
        <v>6200</v>
      </c>
      <c r="K72" s="505">
        <f>ROUND(I72*J72,0)</f>
        <v>6324000</v>
      </c>
      <c r="L72" s="506" t="s">
        <v>252</v>
      </c>
      <c r="M72" s="506" t="s">
        <v>164</v>
      </c>
      <c r="N72" s="49" t="str">
        <f>IF(AND('331-CT'!$E$7=TH!H72,OR(L72="331",M72="331")),"331",IF(AND(OR(L72="131",M72="131"),H72='131-CT'!$E$7),"131",""))</f>
        <v/>
      </c>
      <c r="O72" s="49" t="str">
        <f>IF(AND($B72&gt;='111'!$N$11,$B72&lt;='111'!$O$11,OR($L72=$O$7,$M72=$O$7)),"x","")</f>
        <v/>
      </c>
      <c r="P72" s="49" t="str">
        <f>IF(AND($L72=$O$7,$B72&lt;'111'!$N$11),"x","")</f>
        <v/>
      </c>
      <c r="Q72" s="49" t="str">
        <f>IF(AND($M72=$O$7,$B72&lt;'111'!$N$11),"x","")</f>
        <v/>
      </c>
      <c r="R72" s="49" t="str">
        <f>IF(ISERROR(FIND('112'!$M$9,G72,1)),"",IF((AND(FIND('112'!$M$9,G72,1)&gt;=1,$B72&gt;='112'!$N$8,$B72&lt;='112'!$O$8,OR($L72='112'!$I$6,$M72='112'!$I$6))),"x",""))</f>
        <v/>
      </c>
      <c r="S72" s="49" t="str">
        <f>IF(ISERROR(FIND('112'!$M$9,G72,1)),"",IF((AND(LEFT(G72,2)=LEFT('112'!$M$9,2),B72&lt;'112'!$N$8,$L72='112'!$I$6)),"x",""))</f>
        <v/>
      </c>
      <c r="T72" s="49" t="str">
        <f>IF(ISERROR(FIND('112'!$M$9,G72,1)),"",IF((AND(RIGHT(G72,2)=RIGHT('112'!$M$9,2),B72&lt;'112'!$N$8,$M72='112'!$I$6)),"x",""))</f>
        <v/>
      </c>
      <c r="U72" s="49" t="str">
        <f>IF(AND(L72="154",'154'!$O$5&lt;=B72,'154'!$P$5&gt;=B72),"154",IF(AND(L72="632",'632'!$L$5&lt;=B72,'632'!$M$5&gt;=B72),"632",IF(AND(L72="642",'642'!$N$5&lt;=B72,'642'!$O$5&gt;=B72),"642",IF(AND(L72="641",'641'!$N$5&lt;=B72,'641'!$O$5&gt;=B72),"641",""))))</f>
        <v/>
      </c>
      <c r="V72" s="49" t="str">
        <f>IF(OR(TH!L72=TH!$V$7,M72=TH!$V$7),"x","")</f>
        <v/>
      </c>
      <c r="W72" s="49" t="str">
        <f>IF(AND(B72&gt;='IN-NX'!$P$3,B72&lt;='IN-NX'!$Q$3,'IN-NX'!$D$7=D72,OR(LEFT(L72,2)="15",AND(LEFT(M72,2)&lt;&gt;"15",LEFT(M72,2)&lt;&gt;"33"))),"x","")</f>
        <v/>
      </c>
      <c r="X72" s="49" t="str">
        <f>IF(AND(OR(LEFT(TH!L72,2)="15",LEFT(TH!M72,2)="15"),'152-CT'!$J$8=TH!F72),"x","")</f>
        <v/>
      </c>
      <c r="Y72" s="49" t="str">
        <f>IF(AND(OR(LEFT(TH!L72,2)="15",LEFT(TH!M72,2)="15"),TK!$E$7=TH!F72),"x","")</f>
        <v/>
      </c>
      <c r="Z72" s="49" t="str">
        <f>IF(AND(B72&lt;=NKC!$N$8,B72&gt;=NKC!$M$8),"x","")</f>
        <v>x</v>
      </c>
      <c r="AA72" s="723"/>
      <c r="AB72" s="497"/>
    </row>
    <row r="73" spans="1:30" s="199" customFormat="1" ht="15.75" hidden="1" customHeight="1">
      <c r="A73" s="724" t="str">
        <f>IF(B73&lt;&gt;"",IF(AND(B73&gt;=_TM1,B73&lt;=_TM2,OR(TH!L73="1111",TH!M73="1111")),TH!D73,""),"")</f>
        <v/>
      </c>
      <c r="B73" s="36">
        <f t="shared" si="5"/>
        <v>9</v>
      </c>
      <c r="C73" s="185">
        <f t="shared" si="6"/>
        <v>41178</v>
      </c>
      <c r="D73" s="178" t="s">
        <v>598</v>
      </c>
      <c r="E73" s="178">
        <v>41178</v>
      </c>
      <c r="F73" s="183" t="s">
        <v>538</v>
      </c>
      <c r="G73" s="732" t="s">
        <v>548</v>
      </c>
      <c r="H73" s="187" t="s">
        <v>481</v>
      </c>
      <c r="I73" s="247"/>
      <c r="J73" s="247"/>
      <c r="K73" s="505">
        <v>632400</v>
      </c>
      <c r="L73" s="506" t="s">
        <v>252</v>
      </c>
      <c r="M73" s="506" t="s">
        <v>297</v>
      </c>
      <c r="N73" s="49" t="str">
        <f>IF(AND('331-CT'!$E$7=TH!H73,OR(L73="331",M73="331")),"331",IF(AND(OR(L73="131",M73="131"),H73='131-CT'!$E$7),"131",""))</f>
        <v/>
      </c>
      <c r="O73" s="49" t="str">
        <f>IF(AND($B73&gt;='111'!$N$11,$B73&lt;='111'!$O$11,OR($L73=$O$7,$M73=$O$7)),"x","")</f>
        <v/>
      </c>
      <c r="P73" s="49" t="str">
        <f>IF(AND($L73=$O$7,$B73&lt;'111'!$N$11),"x","")</f>
        <v/>
      </c>
      <c r="Q73" s="49" t="str">
        <f>IF(AND($M73=$O$7,$B73&lt;'111'!$N$11),"x","")</f>
        <v/>
      </c>
      <c r="R73" s="49" t="str">
        <f>IF(ISERROR(FIND('112'!$M$9,G73,1)),"",IF((AND(FIND('112'!$M$9,G73,1)&gt;=1,$B73&gt;='112'!$N$8,$B73&lt;='112'!$O$8,OR($L73='112'!$I$6,$M73='112'!$I$6))),"x",""))</f>
        <v/>
      </c>
      <c r="S73" s="49" t="str">
        <f>IF(ISERROR(FIND('112'!$M$9,G73,1)),"",IF((AND(LEFT(G73,2)=LEFT('112'!$M$9,2),B73&lt;'112'!$N$8,$L73='112'!$I$6)),"x",""))</f>
        <v/>
      </c>
      <c r="T73" s="49" t="str">
        <f>IF(ISERROR(FIND('112'!$M$9,G73,1)),"",IF((AND(RIGHT(G73,2)=RIGHT('112'!$M$9,2),B73&lt;'112'!$N$8,$M73='112'!$I$6)),"x",""))</f>
        <v/>
      </c>
      <c r="U73" s="49" t="str">
        <f>IF(AND(L73="154",'154'!$O$5&lt;=B73,'154'!$P$5&gt;=B73),"154",IF(AND(L73="632",'632'!$L$5&lt;=B73,'632'!$M$5&gt;=B73),"632",IF(AND(L73="642",'642'!$N$5&lt;=B73,'642'!$O$5&gt;=B73),"642",IF(AND(L73="641",'641'!$N$5&lt;=B73,'641'!$O$5&gt;=B73),"641",""))))</f>
        <v/>
      </c>
      <c r="V73" s="49" t="str">
        <f>IF(OR(TH!L73=TH!$V$7,M73=TH!$V$7),"x","")</f>
        <v/>
      </c>
      <c r="W73" s="49" t="str">
        <f>IF(AND(B73&gt;='IN-NX'!$P$3,B73&lt;='IN-NX'!$Q$3,'IN-NX'!$D$7=D73,OR(LEFT(L73,2)="15",AND(LEFT(M73,2)&lt;&gt;"15",LEFT(M73,2)&lt;&gt;"33"))),"x","")</f>
        <v/>
      </c>
      <c r="X73" s="49" t="str">
        <f>IF(AND(OR(LEFT(TH!L73,2)="15",LEFT(TH!M73,2)="15"),'152-CT'!$J$8=TH!F73),"x","")</f>
        <v/>
      </c>
      <c r="Y73" s="49" t="str">
        <f>IF(AND(OR(LEFT(TH!L73,2)="15",LEFT(TH!M73,2)="15"),TK!$E$7=TH!F73),"x","")</f>
        <v/>
      </c>
      <c r="Z73" s="49" t="str">
        <f>IF(AND(B73&lt;=NKC!$N$8,B73&gt;=NKC!$M$8),"x","")</f>
        <v>x</v>
      </c>
      <c r="AA73" s="723"/>
    </row>
    <row r="74" spans="1:30" s="199" customFormat="1" ht="15.75" customHeight="1">
      <c r="A74" s="724" t="str">
        <f>IF(B74&lt;&gt;"",IF(AND(B74&gt;=_TM1,B74&lt;=_TM2,OR(TH!L74="1111",TH!M74="1111")),TH!D74,""),"")</f>
        <v/>
      </c>
      <c r="B74" s="36">
        <f t="shared" si="5"/>
        <v>9</v>
      </c>
      <c r="C74" s="185">
        <f t="shared" si="6"/>
        <v>41182</v>
      </c>
      <c r="D74" s="185" t="s">
        <v>271</v>
      </c>
      <c r="E74" s="185">
        <v>41182</v>
      </c>
      <c r="F74" s="186" t="s">
        <v>590</v>
      </c>
      <c r="G74" s="732"/>
      <c r="H74" s="187" t="s">
        <v>411</v>
      </c>
      <c r="I74" s="247"/>
      <c r="J74" s="247"/>
      <c r="K74" s="505">
        <v>434287</v>
      </c>
      <c r="L74" s="506" t="s">
        <v>9</v>
      </c>
      <c r="M74" s="506" t="s">
        <v>17</v>
      </c>
      <c r="N74" s="49" t="str">
        <f>IF(AND('331-CT'!$E$7=TH!H74,OR(L74="331",M74="331")),"331",IF(AND(OR(L74="131",M74="131"),H74='131-CT'!$E$7),"131",""))</f>
        <v/>
      </c>
      <c r="O74" s="49" t="str">
        <f>IF(AND($B74&gt;='111'!$N$11,$B74&lt;='111'!$O$11,OR($L74=$O$7,$M74=$O$7)),"x","")</f>
        <v/>
      </c>
      <c r="P74" s="49" t="str">
        <f>IF(AND($L74=$O$7,$B74&lt;'111'!$N$11),"x","")</f>
        <v/>
      </c>
      <c r="Q74" s="49" t="str">
        <f>IF(AND($M74=$O$7,$B74&lt;'111'!$N$11),"x","")</f>
        <v/>
      </c>
      <c r="R74" s="49" t="str">
        <f>IF(ISERROR(FIND('112'!$M$9,G74,1)),"",IF((AND(FIND('112'!$M$9,G74,1)&gt;=1,$B74&gt;='112'!$N$8,$B74&lt;='112'!$O$8,OR($L74='112'!$I$6,$M74='112'!$I$6))),"x",""))</f>
        <v/>
      </c>
      <c r="S74" s="49" t="str">
        <f>IF(ISERROR(FIND('112'!$M$9,G74,1)),"",IF((AND(LEFT(G74,2)=LEFT('112'!$M$9,2),B74&lt;'112'!$N$8,$L74='112'!$I$6)),"x",""))</f>
        <v/>
      </c>
      <c r="T74" s="49" t="str">
        <f>IF(ISERROR(FIND('112'!$M$9,G74,1)),"",IF((AND(RIGHT(G74,2)=RIGHT('112'!$M$9,2),B74&lt;'112'!$N$8,$M74='112'!$I$6)),"x",""))</f>
        <v/>
      </c>
      <c r="U74" s="49" t="str">
        <f>IF(AND(L74="154",'154'!$O$5&lt;=B74,'154'!$P$5&gt;=B74),"154",IF(AND(L74="632",'632'!$L$5&lt;=B74,'632'!$M$5&gt;=B74),"632",IF(AND(L74="642",'642'!$N$5&lt;=B74,'642'!$O$5&gt;=B74),"642",IF(AND(L74="641",'641'!$N$5&lt;=B74,'641'!$O$5&gt;=B74),"641",""))))</f>
        <v/>
      </c>
      <c r="V74" s="49" t="str">
        <f>IF(OR(TH!L74=TH!$V$7,M74=TH!$V$7),"x","")</f>
        <v>x</v>
      </c>
      <c r="W74" s="49" t="str">
        <f>IF(AND(B74&gt;='IN-NX'!$P$3,B74&lt;='IN-NX'!$Q$3,'IN-NX'!$D$7=D74,OR(LEFT(L74,2)="15",AND(LEFT(M74,2)&lt;&gt;"15",LEFT(M74,2)&lt;&gt;"33"))),"x","")</f>
        <v/>
      </c>
      <c r="X74" s="49" t="str">
        <f>IF(AND(OR(LEFT(TH!L74,2)="15",LEFT(TH!M74,2)="15"),'152-CT'!$J$8=TH!F74),"x","")</f>
        <v/>
      </c>
      <c r="Y74" s="49" t="str">
        <f>IF(AND(OR(LEFT(TH!L74,2)="15",LEFT(TH!M74,2)="15"),TK!$E$7=TH!F74),"x","")</f>
        <v/>
      </c>
      <c r="Z74" s="49" t="str">
        <f>IF(AND(B74&lt;=NKC!$N$8,B74&gt;=NKC!$M$8),"x","")</f>
        <v>x</v>
      </c>
      <c r="AA74" s="723"/>
      <c r="AB74" s="497"/>
      <c r="AC74" s="497"/>
      <c r="AD74" s="497"/>
    </row>
    <row r="75" spans="1:30" s="199" customFormat="1" ht="15.75" hidden="1" customHeight="1">
      <c r="A75" s="724" t="str">
        <f>IF(B75&lt;&gt;"",IF(AND(B75&gt;=_TM1,B75&lt;=_TM2,OR(TH!L75="1111",TH!M75="1111")),TH!D75,""),"")</f>
        <v/>
      </c>
      <c r="B75" s="36">
        <f t="shared" si="5"/>
        <v>10</v>
      </c>
      <c r="C75" s="185">
        <f t="shared" si="6"/>
        <v>41183</v>
      </c>
      <c r="D75" s="178" t="s">
        <v>473</v>
      </c>
      <c r="E75" s="178">
        <v>41183</v>
      </c>
      <c r="F75" s="183" t="s">
        <v>476</v>
      </c>
      <c r="G75" s="731" t="s">
        <v>374</v>
      </c>
      <c r="H75" s="187" t="s">
        <v>477</v>
      </c>
      <c r="I75" s="247"/>
      <c r="J75" s="247"/>
      <c r="K75" s="505">
        <v>8024412</v>
      </c>
      <c r="L75" s="506" t="s">
        <v>24</v>
      </c>
      <c r="M75" s="506" t="s">
        <v>252</v>
      </c>
      <c r="N75" s="49" t="str">
        <f>IF(AND('331-CT'!$E$7=TH!H75,OR(L75="331",M75="331")),"331",IF(AND(OR(L75="131",M75="131"),H75='131-CT'!$E$7),"131",""))</f>
        <v/>
      </c>
      <c r="O75" s="49" t="str">
        <f>IF(AND($B75&gt;='111'!$N$11,$B75&lt;='111'!$O$11,OR($L75=$O$7,$M75=$O$7)),"x","")</f>
        <v/>
      </c>
      <c r="P75" s="49" t="str">
        <f>IF(AND($L75=$O$7,$B75&lt;'111'!$N$11),"x","")</f>
        <v/>
      </c>
      <c r="Q75" s="49" t="str">
        <f>IF(AND($M75=$O$7,$B75&lt;'111'!$N$11),"x","")</f>
        <v/>
      </c>
      <c r="R75" s="49" t="str">
        <f>IF(ISERROR(FIND('112'!$M$9,G75,1)),"",IF((AND(FIND('112'!$M$9,G75,1)&gt;=1,$B75&gt;='112'!$N$8,$B75&lt;='112'!$O$8,OR($L75='112'!$I$6,$M75='112'!$I$6))),"x",""))</f>
        <v>x</v>
      </c>
      <c r="S75" s="49" t="str">
        <f>IF(ISERROR(FIND('112'!$M$9,G75,1)),"",IF((AND(LEFT(G75,2)=LEFT('112'!$M$9,2),B75&lt;'112'!$N$8,$L75='112'!$I$6)),"x",""))</f>
        <v/>
      </c>
      <c r="T75" s="49" t="str">
        <f>IF(ISERROR(FIND('112'!$M$9,G75,1)),"",IF((AND(RIGHT(G75,2)=RIGHT('112'!$M$9,2),B75&lt;'112'!$N$8,$M75='112'!$I$6)),"x",""))</f>
        <v/>
      </c>
      <c r="U75" s="49" t="str">
        <f>IF(AND(L75="154",'154'!$O$5&lt;=B75,'154'!$P$5&gt;=B75),"154",IF(AND(L75="632",'632'!$L$5&lt;=B75,'632'!$M$5&gt;=B75),"632",IF(AND(L75="642",'642'!$N$5&lt;=B75,'642'!$O$5&gt;=B75),"642",IF(AND(L75="641",'641'!$N$5&lt;=B75,'641'!$O$5&gt;=B75),"641",""))))</f>
        <v/>
      </c>
      <c r="V75" s="49" t="str">
        <f>IF(OR(TH!L75=TH!$V$7,M75=TH!$V$7),"x","")</f>
        <v/>
      </c>
      <c r="W75" s="49" t="str">
        <f>IF(AND(B75&gt;='IN-NX'!$P$3,B75&lt;='IN-NX'!$Q$3,'IN-NX'!$D$7=D75,OR(LEFT(L75,2)="15",AND(LEFT(M75,2)&lt;&gt;"15",LEFT(M75,2)&lt;&gt;"33"))),"x","")</f>
        <v/>
      </c>
      <c r="X75" s="49" t="str">
        <f>IF(AND(OR(LEFT(TH!L75,2)="15",LEFT(TH!M75,2)="15"),'152-CT'!$J$8=TH!F75),"x","")</f>
        <v/>
      </c>
      <c r="Y75" s="49" t="str">
        <f>IF(AND(OR(LEFT(TH!L75,2)="15",LEFT(TH!M75,2)="15"),TK!$E$7=TH!F75),"x","")</f>
        <v/>
      </c>
      <c r="Z75" s="49" t="str">
        <f>IF(AND(B75&lt;=NKC!$N$8,B75&gt;=NKC!$M$8),"x","")</f>
        <v/>
      </c>
      <c r="AA75" s="723"/>
      <c r="AB75" s="497"/>
      <c r="AD75" s="497"/>
    </row>
    <row r="76" spans="1:30" s="199" customFormat="1" ht="15.75" hidden="1" customHeight="1">
      <c r="A76" s="724" t="str">
        <f>IF(B76&lt;&gt;"",IF(AND(B76&gt;=_TM1,B76&lt;=_TM2,OR(TH!L76="1111",TH!M76="1111")),TH!D76,""),"")</f>
        <v>T01</v>
      </c>
      <c r="B76" s="36">
        <f t="shared" si="5"/>
        <v>10</v>
      </c>
      <c r="C76" s="185">
        <f t="shared" si="6"/>
        <v>41187</v>
      </c>
      <c r="D76" s="178" t="s">
        <v>291</v>
      </c>
      <c r="E76" s="178">
        <v>41187</v>
      </c>
      <c r="F76" s="183" t="s">
        <v>478</v>
      </c>
      <c r="G76" s="731" t="s">
        <v>374</v>
      </c>
      <c r="H76" s="187" t="s">
        <v>483</v>
      </c>
      <c r="I76" s="247"/>
      <c r="J76" s="247"/>
      <c r="K76" s="505">
        <v>28000000</v>
      </c>
      <c r="L76" s="506" t="s">
        <v>47</v>
      </c>
      <c r="M76" s="506" t="s">
        <v>24</v>
      </c>
      <c r="N76" s="49" t="str">
        <f>IF(AND('331-CT'!$E$7=TH!H76,OR(L76="331",M76="331")),"331",IF(AND(OR(L76="131",M76="131"),H76='131-CT'!$E$7),"131",""))</f>
        <v/>
      </c>
      <c r="O76" s="49" t="str">
        <f>IF(AND($B76&gt;='111'!$N$11,$B76&lt;='111'!$O$11,OR($L76=$O$7,$M76=$O$7)),"x","")</f>
        <v>x</v>
      </c>
      <c r="P76" s="49" t="str">
        <f>IF(AND($L76=$O$7,$B76&lt;'111'!$N$11),"x","")</f>
        <v/>
      </c>
      <c r="Q76" s="49" t="str">
        <f>IF(AND($M76=$O$7,$B76&lt;'111'!$N$11),"x","")</f>
        <v/>
      </c>
      <c r="R76" s="49" t="str">
        <f>IF(ISERROR(FIND('112'!$M$9,G76,1)),"",IF((AND(FIND('112'!$M$9,G76,1)&gt;=1,$B76&gt;='112'!$N$8,$B76&lt;='112'!$O$8,OR($L76='112'!$I$6,$M76='112'!$I$6))),"x",""))</f>
        <v>x</v>
      </c>
      <c r="S76" s="49" t="str">
        <f>IF(ISERROR(FIND('112'!$M$9,G76,1)),"",IF((AND(LEFT(G76,2)=LEFT('112'!$M$9,2),B76&lt;'112'!$N$8,$L76='112'!$I$6)),"x",""))</f>
        <v/>
      </c>
      <c r="T76" s="49" t="str">
        <f>IF(ISERROR(FIND('112'!$M$9,G76,1)),"",IF((AND(RIGHT(G76,2)=RIGHT('112'!$M$9,2),B76&lt;'112'!$N$8,$M76='112'!$I$6)),"x",""))</f>
        <v/>
      </c>
      <c r="U76" s="49" t="str">
        <f>IF(AND(L76="154",'154'!$O$5&lt;=B76,'154'!$P$5&gt;=B76),"154",IF(AND(L76="632",'632'!$L$5&lt;=B76,'632'!$M$5&gt;=B76),"632",IF(AND(L76="642",'642'!$N$5&lt;=B76,'642'!$O$5&gt;=B76),"642",IF(AND(L76="641",'641'!$N$5&lt;=B76,'641'!$O$5&gt;=B76),"641",""))))</f>
        <v/>
      </c>
      <c r="V76" s="49" t="str">
        <f>IF(OR(TH!L76=TH!$V$7,M76=TH!$V$7),"x","")</f>
        <v/>
      </c>
      <c r="W76" s="49" t="str">
        <f>IF(AND(B76&gt;='IN-NX'!$P$3,B76&lt;='IN-NX'!$Q$3,'IN-NX'!$D$7=D76,OR(LEFT(L76,2)="15",AND(LEFT(M76,2)&lt;&gt;"15",LEFT(M76,2)&lt;&gt;"33"))),"x","")</f>
        <v/>
      </c>
      <c r="X76" s="49" t="str">
        <f>IF(AND(OR(LEFT(TH!L76,2)="15",LEFT(TH!M76,2)="15"),'152-CT'!$J$8=TH!F76),"x","")</f>
        <v/>
      </c>
      <c r="Y76" s="49" t="str">
        <f>IF(AND(OR(LEFT(TH!L76,2)="15",LEFT(TH!M76,2)="15"),TK!$E$7=TH!F76),"x","")</f>
        <v/>
      </c>
      <c r="Z76" s="49" t="str">
        <f>IF(AND(B76&lt;=NKC!$N$8,B76&gt;=NKC!$M$8),"x","")</f>
        <v/>
      </c>
      <c r="AA76" s="723"/>
      <c r="AB76" s="497"/>
      <c r="AC76" s="497"/>
      <c r="AD76" s="497"/>
    </row>
    <row r="77" spans="1:30" s="199" customFormat="1" ht="15.75" hidden="1" customHeight="1">
      <c r="A77" s="724" t="str">
        <f>IF(B77&lt;&gt;"",IF(AND(B77&gt;=_TM1,B77&lt;=_TM2,OR(TH!L77="1111",TH!M77="1111")),TH!D77,""),"")</f>
        <v/>
      </c>
      <c r="B77" s="36">
        <f t="shared" si="5"/>
        <v>10</v>
      </c>
      <c r="C77" s="185">
        <f t="shared" si="6"/>
        <v>41187</v>
      </c>
      <c r="D77" s="178" t="s">
        <v>485</v>
      </c>
      <c r="E77" s="178">
        <v>41187</v>
      </c>
      <c r="F77" s="183" t="s">
        <v>479</v>
      </c>
      <c r="G77" s="731" t="s">
        <v>374</v>
      </c>
      <c r="H77" s="187"/>
      <c r="I77" s="247"/>
      <c r="J77" s="247"/>
      <c r="K77" s="505">
        <v>20000</v>
      </c>
      <c r="L77" s="506" t="s">
        <v>83</v>
      </c>
      <c r="M77" s="506" t="s">
        <v>24</v>
      </c>
      <c r="N77" s="49" t="str">
        <f>IF(AND('331-CT'!$E$7=TH!H77,OR(L77="331",M77="331")),"331",IF(AND(OR(L77="131",M77="131"),H77='131-CT'!$E$7),"131",""))</f>
        <v/>
      </c>
      <c r="O77" s="49" t="str">
        <f>IF(AND($B77&gt;='111'!$N$11,$B77&lt;='111'!$O$11,OR($L77=$O$7,$M77=$O$7)),"x","")</f>
        <v/>
      </c>
      <c r="P77" s="49" t="str">
        <f>IF(AND($L77=$O$7,$B77&lt;'111'!$N$11),"x","")</f>
        <v/>
      </c>
      <c r="Q77" s="49" t="str">
        <f>IF(AND($M77=$O$7,$B77&lt;'111'!$N$11),"x","")</f>
        <v/>
      </c>
      <c r="R77" s="49" t="str">
        <f>IF(ISERROR(FIND('112'!$M$9,G77,1)),"",IF((AND(FIND('112'!$M$9,G77,1)&gt;=1,$B77&gt;='112'!$N$8,$B77&lt;='112'!$O$8,OR($L77='112'!$I$6,$M77='112'!$I$6))),"x",""))</f>
        <v>x</v>
      </c>
      <c r="S77" s="49" t="str">
        <f>IF(ISERROR(FIND('112'!$M$9,G77,1)),"",IF((AND(LEFT(G77,2)=LEFT('112'!$M$9,2),B77&lt;'112'!$N$8,$L77='112'!$I$6)),"x",""))</f>
        <v/>
      </c>
      <c r="T77" s="49" t="str">
        <f>IF(ISERROR(FIND('112'!$M$9,G77,1)),"",IF((AND(RIGHT(G77,2)=RIGHT('112'!$M$9,2),B77&lt;'112'!$N$8,$M77='112'!$I$6)),"x",""))</f>
        <v/>
      </c>
      <c r="U77" s="49" t="str">
        <f>IF(AND(L77="154",'154'!$O$5&lt;=B77,'154'!$P$5&gt;=B77),"154",IF(AND(L77="632",'632'!$L$5&lt;=B77,'632'!$M$5&gt;=B77),"632",IF(AND(L77="642",'642'!$N$5&lt;=B77,'642'!$O$5&gt;=B77),"642",IF(AND(L77="641",'641'!$N$5&lt;=B77,'641'!$O$5&gt;=B77),"641",""))))</f>
        <v/>
      </c>
      <c r="V77" s="49" t="str">
        <f>IF(OR(TH!L77=TH!$V$7,M77=TH!$V$7),"x","")</f>
        <v/>
      </c>
      <c r="W77" s="49" t="str">
        <f>IF(AND(B77&gt;='IN-NX'!$P$3,B77&lt;='IN-NX'!$Q$3,'IN-NX'!$D$7=D77,OR(LEFT(L77,2)="15",AND(LEFT(M77,2)&lt;&gt;"15",LEFT(M77,2)&lt;&gt;"33"))),"x","")</f>
        <v/>
      </c>
      <c r="X77" s="49" t="str">
        <f>IF(AND(OR(LEFT(TH!L77,2)="15",LEFT(TH!M77,2)="15"),'152-CT'!$J$8=TH!F77),"x","")</f>
        <v/>
      </c>
      <c r="Y77" s="49" t="str">
        <f>IF(AND(OR(LEFT(TH!L77,2)="15",LEFT(TH!M77,2)="15"),TK!$E$7=TH!F77),"x","")</f>
        <v/>
      </c>
      <c r="Z77" s="49" t="str">
        <f>IF(AND(B77&lt;=NKC!$N$8,B77&gt;=NKC!$M$8),"x","")</f>
        <v/>
      </c>
      <c r="AA77" s="723"/>
      <c r="AB77" s="497"/>
      <c r="AC77" s="497"/>
      <c r="AD77" s="497"/>
    </row>
    <row r="78" spans="1:30" s="199" customFormat="1" ht="15.75" customHeight="1">
      <c r="A78" s="724" t="str">
        <f>IF(B78&lt;&gt;"",IF(AND(B78&gt;=_TM1,B78&lt;=_TM2,OR(TH!L78="1111",TH!M78="1111")),TH!D78,""),"")</f>
        <v/>
      </c>
      <c r="B78" s="36">
        <f t="shared" ref="B78" si="7">IF(C78&lt;&gt;"",MONTH(C78),"")</f>
        <v>10</v>
      </c>
      <c r="C78" s="185">
        <f t="shared" ref="C78" si="8">E78</f>
        <v>41187</v>
      </c>
      <c r="D78" s="178" t="s">
        <v>485</v>
      </c>
      <c r="E78" s="178">
        <v>41187</v>
      </c>
      <c r="F78" s="183" t="s">
        <v>632</v>
      </c>
      <c r="G78" s="731" t="s">
        <v>374</v>
      </c>
      <c r="H78" s="187"/>
      <c r="I78" s="247"/>
      <c r="J78" s="247"/>
      <c r="K78" s="505">
        <v>2000</v>
      </c>
      <c r="L78" s="506" t="s">
        <v>9</v>
      </c>
      <c r="M78" s="506" t="s">
        <v>24</v>
      </c>
      <c r="N78" s="49" t="str">
        <f>IF(AND('331-CT'!$E$7=TH!H78,OR(L78="331",M78="331")),"331",IF(AND(OR(L78="131",M78="131"),H78='131-CT'!$E$7),"131",""))</f>
        <v/>
      </c>
      <c r="O78" s="49" t="str">
        <f>IF(AND($B78&gt;='111'!$N$11,$B78&lt;='111'!$O$11,OR($L78=$O$7,$M78=$O$7)),"x","")</f>
        <v/>
      </c>
      <c r="P78" s="49" t="str">
        <f>IF(AND($L78=$O$7,$B78&lt;'111'!$N$11),"x","")</f>
        <v/>
      </c>
      <c r="Q78" s="49" t="str">
        <f>IF(AND($M78=$O$7,$B78&lt;'111'!$N$11),"x","")</f>
        <v/>
      </c>
      <c r="R78" s="49" t="str">
        <f>IF(ISERROR(FIND('112'!$M$9,G78,1)),"",IF((AND(FIND('112'!$M$9,G78,1)&gt;=1,$B78&gt;='112'!$N$8,$B78&lt;='112'!$O$8,OR($L78='112'!$I$6,$M78='112'!$I$6))),"x",""))</f>
        <v>x</v>
      </c>
      <c r="S78" s="49" t="str">
        <f>IF(ISERROR(FIND('112'!$M$9,G78,1)),"",IF((AND(LEFT(G78,2)=LEFT('112'!$M$9,2),B78&lt;'112'!$N$8,$L78='112'!$I$6)),"x",""))</f>
        <v/>
      </c>
      <c r="T78" s="49" t="str">
        <f>IF(ISERROR(FIND('112'!$M$9,G78,1)),"",IF((AND(RIGHT(G78,2)=RIGHT('112'!$M$9,2),B78&lt;'112'!$N$8,$M78='112'!$I$6)),"x",""))</f>
        <v/>
      </c>
      <c r="U78" s="49" t="str">
        <f>IF(AND(L78="154",'154'!$O$5&lt;=B78,'154'!$P$5&gt;=B78),"154",IF(AND(L78="632",'632'!$L$5&lt;=B78,'632'!$M$5&gt;=B78),"632",IF(AND(L78="642",'642'!$N$5&lt;=B78,'642'!$O$5&gt;=B78),"642",IF(AND(L78="641",'641'!$N$5&lt;=B78,'641'!$O$5&gt;=B78),"641",""))))</f>
        <v/>
      </c>
      <c r="V78" s="49" t="str">
        <f>IF(OR(TH!L78=TH!$V$7,M78=TH!$V$7),"x","")</f>
        <v>x</v>
      </c>
      <c r="W78" s="49" t="str">
        <f>IF(AND(B78&gt;='IN-NX'!$P$3,B78&lt;='IN-NX'!$Q$3,'IN-NX'!$D$7=D78,OR(LEFT(L78,2)="15",AND(LEFT(M78,2)&lt;&gt;"15",LEFT(M78,2)&lt;&gt;"33"))),"x","")</f>
        <v/>
      </c>
      <c r="X78" s="49" t="str">
        <f>IF(AND(OR(LEFT(TH!L78,2)="15",LEFT(TH!M78,2)="15"),'152-CT'!$J$8=TH!F78),"x","")</f>
        <v/>
      </c>
      <c r="Y78" s="49" t="str">
        <f>IF(AND(OR(LEFT(TH!L78,2)="15",LEFT(TH!M78,2)="15"),TK!$E$7=TH!F78),"x","")</f>
        <v/>
      </c>
      <c r="Z78" s="49" t="str">
        <f>IF(AND(B78&lt;=NKC!$N$8,B78&gt;=NKC!$M$8),"x","")</f>
        <v/>
      </c>
      <c r="AA78" s="723">
        <v>10</v>
      </c>
      <c r="AB78" s="497"/>
      <c r="AC78" s="497"/>
      <c r="AD78" s="497"/>
    </row>
    <row r="79" spans="1:30" s="199" customFormat="1" ht="15.75" hidden="1" customHeight="1">
      <c r="A79" s="724" t="str">
        <f>IF(B79&lt;&gt;"",IF(AND(B79&gt;=_TM1,B79&lt;=_TM2,OR(TH!L79="1111",TH!M79="1111")),TH!D79,""),"")</f>
        <v/>
      </c>
      <c r="B79" s="36">
        <f t="shared" si="5"/>
        <v>10</v>
      </c>
      <c r="C79" s="185">
        <f t="shared" si="6"/>
        <v>41193</v>
      </c>
      <c r="D79" s="178" t="s">
        <v>593</v>
      </c>
      <c r="E79" s="185">
        <v>41193</v>
      </c>
      <c r="F79" s="183" t="s">
        <v>549</v>
      </c>
      <c r="G79" s="732" t="s">
        <v>439</v>
      </c>
      <c r="H79" s="187" t="s">
        <v>482</v>
      </c>
      <c r="I79" s="247">
        <v>1300</v>
      </c>
      <c r="J79" s="247">
        <v>5800</v>
      </c>
      <c r="K79" s="505">
        <f>ROUND(I79*J79,0)</f>
        <v>7540000</v>
      </c>
      <c r="L79" s="506" t="s">
        <v>252</v>
      </c>
      <c r="M79" s="506" t="s">
        <v>164</v>
      </c>
      <c r="N79" s="49" t="str">
        <f>IF(AND('331-CT'!$E$7=TH!H79,OR(L79="331",M79="331")),"331",IF(AND(OR(L79="131",M79="131"),H79='131-CT'!$E$7),"131",""))</f>
        <v/>
      </c>
      <c r="O79" s="49" t="str">
        <f>IF(AND($B79&gt;='111'!$N$11,$B79&lt;='111'!$O$11,OR($L79=$O$7,$M79=$O$7)),"x","")</f>
        <v/>
      </c>
      <c r="P79" s="49" t="str">
        <f>IF(AND($L79=$O$7,$B79&lt;'111'!$N$11),"x","")</f>
        <v/>
      </c>
      <c r="Q79" s="49" t="str">
        <f>IF(AND($M79=$O$7,$B79&lt;'111'!$N$11),"x","")</f>
        <v/>
      </c>
      <c r="R79" s="49" t="str">
        <f>IF(ISERROR(FIND('112'!$M$9,G79,1)),"",IF((AND(FIND('112'!$M$9,G79,1)&gt;=1,$B79&gt;='112'!$N$8,$B79&lt;='112'!$O$8,OR($L79='112'!$I$6,$M79='112'!$I$6))),"x",""))</f>
        <v/>
      </c>
      <c r="S79" s="49" t="str">
        <f>IF(ISERROR(FIND('112'!$M$9,G79,1)),"",IF((AND(LEFT(G79,2)=LEFT('112'!$M$9,2),B79&lt;'112'!$N$8,$L79='112'!$I$6)),"x",""))</f>
        <v/>
      </c>
      <c r="T79" s="49" t="str">
        <f>IF(ISERROR(FIND('112'!$M$9,G79,1)),"",IF((AND(RIGHT(G79,2)=RIGHT('112'!$M$9,2),B79&lt;'112'!$N$8,$M79='112'!$I$6)),"x",""))</f>
        <v/>
      </c>
      <c r="U79" s="49" t="str">
        <f>IF(AND(L79="154",'154'!$O$5&lt;=B79,'154'!$P$5&gt;=B79),"154",IF(AND(L79="632",'632'!$L$5&lt;=B79,'632'!$M$5&gt;=B79),"632",IF(AND(L79="642",'642'!$N$5&lt;=B79,'642'!$O$5&gt;=B79),"642",IF(AND(L79="641",'641'!$N$5&lt;=B79,'641'!$O$5&gt;=B79),"641",""))))</f>
        <v/>
      </c>
      <c r="V79" s="49" t="str">
        <f>IF(OR(TH!L79=TH!$V$7,M79=TH!$V$7),"x","")</f>
        <v/>
      </c>
      <c r="W79" s="49" t="str">
        <f>IF(AND(B79&gt;='IN-NX'!$P$3,B79&lt;='IN-NX'!$Q$3,'IN-NX'!$D$7=D79,OR(LEFT(L79,2)="15",AND(LEFT(M79,2)&lt;&gt;"15",LEFT(M79,2)&lt;&gt;"33"))),"x","")</f>
        <v/>
      </c>
      <c r="X79" s="49" t="str">
        <f>IF(AND(OR(LEFT(TH!L79,2)="15",LEFT(TH!M79,2)="15"),'152-CT'!$J$8=TH!F79),"x","")</f>
        <v/>
      </c>
      <c r="Y79" s="49" t="str">
        <f>IF(AND(OR(LEFT(TH!L79,2)="15",LEFT(TH!M79,2)="15"),TK!$E$7=TH!F79),"x","")</f>
        <v/>
      </c>
      <c r="Z79" s="49" t="str">
        <f>IF(AND(B79&lt;=NKC!$N$8,B79&gt;=NKC!$M$8),"x","")</f>
        <v/>
      </c>
      <c r="AA79" s="723"/>
      <c r="AB79" s="497"/>
    </row>
    <row r="80" spans="1:30" s="199" customFormat="1" ht="15.75" hidden="1" customHeight="1">
      <c r="A80" s="724" t="str">
        <f>IF(B80&lt;&gt;"",IF(AND(B80&gt;=_TM1,B80&lt;=_TM2,OR(TH!L80="1111",TH!M80="1111")),TH!D80,""),"")</f>
        <v/>
      </c>
      <c r="B80" s="36">
        <f t="shared" si="5"/>
        <v>10</v>
      </c>
      <c r="C80" s="185">
        <f t="shared" si="6"/>
        <v>41193</v>
      </c>
      <c r="D80" s="178" t="s">
        <v>593</v>
      </c>
      <c r="E80" s="185">
        <v>41193</v>
      </c>
      <c r="F80" s="183" t="s">
        <v>538</v>
      </c>
      <c r="G80" s="732" t="s">
        <v>439</v>
      </c>
      <c r="H80" s="187" t="s">
        <v>482</v>
      </c>
      <c r="I80" s="247"/>
      <c r="J80" s="247"/>
      <c r="K80" s="505">
        <v>754000</v>
      </c>
      <c r="L80" s="506" t="s">
        <v>252</v>
      </c>
      <c r="M80" s="506" t="s">
        <v>297</v>
      </c>
      <c r="N80" s="49" t="str">
        <f>IF(AND('331-CT'!$E$7=TH!H80,OR(L80="331",M80="331")),"331",IF(AND(OR(L80="131",M80="131"),H80='131-CT'!$E$7),"131",""))</f>
        <v/>
      </c>
      <c r="O80" s="49" t="str">
        <f>IF(AND($B80&gt;='111'!$N$11,$B80&lt;='111'!$O$11,OR($L80=$O$7,$M80=$O$7)),"x","")</f>
        <v/>
      </c>
      <c r="P80" s="49" t="str">
        <f>IF(AND($L80=$O$7,$B80&lt;'111'!$N$11),"x","")</f>
        <v/>
      </c>
      <c r="Q80" s="49" t="str">
        <f>IF(AND($M80=$O$7,$B80&lt;'111'!$N$11),"x","")</f>
        <v/>
      </c>
      <c r="R80" s="49" t="str">
        <f>IF(ISERROR(FIND('112'!$M$9,G80,1)),"",IF((AND(FIND('112'!$M$9,G80,1)&gt;=1,$B80&gt;='112'!$N$8,$B80&lt;='112'!$O$8,OR($L80='112'!$I$6,$M80='112'!$I$6))),"x",""))</f>
        <v/>
      </c>
      <c r="S80" s="49" t="str">
        <f>IF(ISERROR(FIND('112'!$M$9,G80,1)),"",IF((AND(LEFT(G80,2)=LEFT('112'!$M$9,2),B80&lt;'112'!$N$8,$L80='112'!$I$6)),"x",""))</f>
        <v/>
      </c>
      <c r="T80" s="49" t="str">
        <f>IF(ISERROR(FIND('112'!$M$9,G80,1)),"",IF((AND(RIGHT(G80,2)=RIGHT('112'!$M$9,2),B80&lt;'112'!$N$8,$M80='112'!$I$6)),"x",""))</f>
        <v/>
      </c>
      <c r="U80" s="49" t="str">
        <f>IF(AND(L80="154",'154'!$O$5&lt;=B80,'154'!$P$5&gt;=B80),"154",IF(AND(L80="632",'632'!$L$5&lt;=B80,'632'!$M$5&gt;=B80),"632",IF(AND(L80="642",'642'!$N$5&lt;=B80,'642'!$O$5&gt;=B80),"642",IF(AND(L80="641",'641'!$N$5&lt;=B80,'641'!$O$5&gt;=B80),"641",""))))</f>
        <v/>
      </c>
      <c r="V80" s="49" t="str">
        <f>IF(OR(TH!L80=TH!$V$7,M80=TH!$V$7),"x","")</f>
        <v/>
      </c>
      <c r="W80" s="49" t="str">
        <f>IF(AND(B80&gt;='IN-NX'!$P$3,B80&lt;='IN-NX'!$Q$3,'IN-NX'!$D$7=D80,OR(LEFT(L80,2)="15",AND(LEFT(M80,2)&lt;&gt;"15",LEFT(M80,2)&lt;&gt;"33"))),"x","")</f>
        <v/>
      </c>
      <c r="X80" s="49" t="str">
        <f>IF(AND(OR(LEFT(TH!L80,2)="15",LEFT(TH!M80,2)="15"),'152-CT'!$J$8=TH!F80),"x","")</f>
        <v/>
      </c>
      <c r="Y80" s="49" t="str">
        <f>IF(AND(OR(LEFT(TH!L80,2)="15",LEFT(TH!M80,2)="15"),TK!$E$7=TH!F80),"x","")</f>
        <v/>
      </c>
      <c r="Z80" s="49" t="str">
        <f>IF(AND(B80&lt;=NKC!$N$8,B80&gt;=NKC!$M$8),"x","")</f>
        <v/>
      </c>
      <c r="AA80" s="723"/>
      <c r="AB80" s="497"/>
    </row>
    <row r="81" spans="1:30" s="199" customFormat="1" ht="15.75" hidden="1" customHeight="1">
      <c r="A81" s="724" t="str">
        <f>IF(B81&lt;&gt;"",IF(AND(B81&gt;=_TM1,B81&lt;=_TM2,OR(TH!L81="1111",TH!M81="1111")),TH!D81,""),"")</f>
        <v/>
      </c>
      <c r="B81" s="36">
        <f t="shared" si="5"/>
        <v>10</v>
      </c>
      <c r="C81" s="185">
        <f t="shared" si="6"/>
        <v>41195</v>
      </c>
      <c r="D81" s="185" t="s">
        <v>498</v>
      </c>
      <c r="E81" s="178">
        <v>41195</v>
      </c>
      <c r="F81" s="183" t="s">
        <v>426</v>
      </c>
      <c r="G81" s="731" t="s">
        <v>427</v>
      </c>
      <c r="H81" s="7" t="s">
        <v>390</v>
      </c>
      <c r="I81" s="247">
        <v>500</v>
      </c>
      <c r="J81" s="247">
        <v>12750</v>
      </c>
      <c r="K81" s="37">
        <f>ROUND(I81*J81,0)</f>
        <v>6375000</v>
      </c>
      <c r="L81" s="188" t="s">
        <v>375</v>
      </c>
      <c r="M81" s="188" t="s">
        <v>8</v>
      </c>
      <c r="N81" s="49" t="str">
        <f>IF(AND('331-CT'!$E$7=TH!H81,OR(L81="331",M81="331")),"331",IF(AND(OR(L81="131",M81="131"),H81='131-CT'!$E$7),"131",""))</f>
        <v>331</v>
      </c>
      <c r="O81" s="49" t="str">
        <f>IF(AND($B81&gt;='111'!$N$11,$B81&lt;='111'!$O$11,OR($L81=$O$7,$M81=$O$7)),"x","")</f>
        <v/>
      </c>
      <c r="P81" s="49" t="str">
        <f>IF(AND($L81=$O$7,$B81&lt;'111'!$N$11),"x","")</f>
        <v/>
      </c>
      <c r="Q81" s="49" t="str">
        <f>IF(AND($M81=$O$7,$B81&lt;'111'!$N$11),"x","")</f>
        <v/>
      </c>
      <c r="R81" s="49" t="str">
        <f>IF(ISERROR(FIND('112'!$M$9,G81,1)),"",IF((AND(FIND('112'!$M$9,G81,1)&gt;=1,$B81&gt;='112'!$N$8,$B81&lt;='112'!$O$8,OR($L81='112'!$I$6,$M81='112'!$I$6))),"x",""))</f>
        <v/>
      </c>
      <c r="S81" s="49" t="str">
        <f>IF(ISERROR(FIND('112'!$M$9,G81,1)),"",IF((AND(LEFT(G81,2)=LEFT('112'!$M$9,2),B81&lt;'112'!$N$8,$L81='112'!$I$6)),"x",""))</f>
        <v/>
      </c>
      <c r="T81" s="49" t="str">
        <f>IF(ISERROR(FIND('112'!$M$9,G81,1)),"",IF((AND(RIGHT(G81,2)=RIGHT('112'!$M$9,2),B81&lt;'112'!$N$8,$M81='112'!$I$6)),"x",""))</f>
        <v/>
      </c>
      <c r="U81" s="49" t="str">
        <f>IF(AND(L81="154",'154'!$O$5&lt;=B81,'154'!$P$5&gt;=B81),"154",IF(AND(L81="632",'632'!$L$5&lt;=B81,'632'!$M$5&gt;=B81),"632",IF(AND(L81="642",'642'!$N$5&lt;=B81,'642'!$O$5&gt;=B81),"642",IF(AND(L81="641",'641'!$N$5&lt;=B81,'641'!$O$5&gt;=B81),"641",""))))</f>
        <v/>
      </c>
      <c r="V81" s="49" t="str">
        <f>IF(OR(TH!L81=TH!$V$7,M81=TH!$V$7),"x","")</f>
        <v/>
      </c>
      <c r="W81" s="49" t="str">
        <f>IF(AND(B81&gt;='IN-NX'!$P$3,B81&lt;='IN-NX'!$Q$3,'IN-NX'!$D$7=D81,OR(LEFT(L81,2)="15",AND(LEFT(M81,2)&lt;&gt;"15",LEFT(M81,2)&lt;&gt;"33"))),"x","")</f>
        <v/>
      </c>
      <c r="X81" s="49" t="str">
        <f>IF(AND(OR(LEFT(TH!L81,2)="15",LEFT(TH!M81,2)="15"),'152-CT'!$J$8=TH!F81),"x","")</f>
        <v/>
      </c>
      <c r="Y81" s="49" t="str">
        <f>IF(AND(OR(LEFT(TH!L81,2)="15",LEFT(TH!M81,2)="15"),TK!$E$7=TH!F81),"x","")</f>
        <v/>
      </c>
      <c r="Z81" s="49" t="str">
        <f>IF(AND(B81&lt;=NKC!$N$8,B81&gt;=NKC!$M$8),"x","")</f>
        <v/>
      </c>
      <c r="AA81" s="723"/>
      <c r="AB81" s="497"/>
    </row>
    <row r="82" spans="1:30" s="199" customFormat="1" ht="15.75" customHeight="1">
      <c r="A82" s="724" t="str">
        <f>IF(B82&lt;&gt;"",IF(AND(B82&gt;=_TM1,B82&lt;=_TM2,OR(TH!L82="1111",TH!M82="1111")),TH!D82,""),"")</f>
        <v/>
      </c>
      <c r="B82" s="36">
        <f t="shared" si="5"/>
        <v>10</v>
      </c>
      <c r="C82" s="185">
        <f t="shared" si="6"/>
        <v>41195</v>
      </c>
      <c r="D82" s="185" t="s">
        <v>498</v>
      </c>
      <c r="E82" s="178">
        <v>41195</v>
      </c>
      <c r="F82" s="183" t="s">
        <v>392</v>
      </c>
      <c r="G82" s="731" t="s">
        <v>427</v>
      </c>
      <c r="H82" s="7" t="s">
        <v>390</v>
      </c>
      <c r="I82" s="247"/>
      <c r="J82" s="247"/>
      <c r="K82" s="37">
        <v>637500</v>
      </c>
      <c r="L82" s="188" t="s">
        <v>9</v>
      </c>
      <c r="M82" s="188" t="s">
        <v>8</v>
      </c>
      <c r="N82" s="49" t="str">
        <f>IF(AND('331-CT'!$E$7=TH!H82,OR(L82="331",M82="331")),"331",IF(AND(OR(L82="131",M82="131"),H82='131-CT'!$E$7),"131",""))</f>
        <v>331</v>
      </c>
      <c r="O82" s="49" t="str">
        <f>IF(AND($B82&gt;='111'!$N$11,$B82&lt;='111'!$O$11,OR($L82=$O$7,$M82=$O$7)),"x","")</f>
        <v/>
      </c>
      <c r="P82" s="49" t="str">
        <f>IF(AND($L82=$O$7,$B82&lt;'111'!$N$11),"x","")</f>
        <v/>
      </c>
      <c r="Q82" s="49" t="str">
        <f>IF(AND($M82=$O$7,$B82&lt;'111'!$N$11),"x","")</f>
        <v/>
      </c>
      <c r="R82" s="49" t="str">
        <f>IF(ISERROR(FIND('112'!$M$9,G82,1)),"",IF((AND(FIND('112'!$M$9,G82,1)&gt;=1,$B82&gt;='112'!$N$8,$B82&lt;='112'!$O$8,OR($L82='112'!$I$6,$M82='112'!$I$6))),"x",""))</f>
        <v/>
      </c>
      <c r="S82" s="49" t="str">
        <f>IF(ISERROR(FIND('112'!$M$9,G82,1)),"",IF((AND(LEFT(G82,2)=LEFT('112'!$M$9,2),B82&lt;'112'!$N$8,$L82='112'!$I$6)),"x",""))</f>
        <v/>
      </c>
      <c r="T82" s="49" t="str">
        <f>IF(ISERROR(FIND('112'!$M$9,G82,1)),"",IF((AND(RIGHT(G82,2)=RIGHT('112'!$M$9,2),B82&lt;'112'!$N$8,$M82='112'!$I$6)),"x",""))</f>
        <v/>
      </c>
      <c r="U82" s="49" t="str">
        <f>IF(AND(L82="154",'154'!$O$5&lt;=B82,'154'!$P$5&gt;=B82),"154",IF(AND(L82="632",'632'!$L$5&lt;=B82,'632'!$M$5&gt;=B82),"632",IF(AND(L82="642",'642'!$N$5&lt;=B82,'642'!$O$5&gt;=B82),"642",IF(AND(L82="641",'641'!$N$5&lt;=B82,'641'!$O$5&gt;=B82),"641",""))))</f>
        <v/>
      </c>
      <c r="V82" s="49" t="str">
        <f>IF(OR(TH!L82=TH!$V$7,M82=TH!$V$7),"x","")</f>
        <v>x</v>
      </c>
      <c r="W82" s="49" t="str">
        <f>IF(AND(B82&gt;='IN-NX'!$P$3,B82&lt;='IN-NX'!$Q$3,'IN-NX'!$D$7=D82,OR(LEFT(L82,2)="15",AND(LEFT(M82,2)&lt;&gt;"15",LEFT(M82,2)&lt;&gt;"33"))),"x","")</f>
        <v/>
      </c>
      <c r="X82" s="49" t="str">
        <f>IF(AND(OR(LEFT(TH!L82,2)="15",LEFT(TH!M82,2)="15"),'152-CT'!$J$8=TH!F82),"x","")</f>
        <v/>
      </c>
      <c r="Y82" s="49" t="str">
        <f>IF(AND(OR(LEFT(TH!L82,2)="15",LEFT(TH!M82,2)="15"),TK!$E$7=TH!F82),"x","")</f>
        <v/>
      </c>
      <c r="Z82" s="49" t="str">
        <f>IF(AND(B82&lt;=NKC!$N$8,B82&gt;=NKC!$M$8),"x","")</f>
        <v/>
      </c>
      <c r="AA82" s="723">
        <v>10</v>
      </c>
      <c r="AB82" s="497"/>
    </row>
    <row r="83" spans="1:30" s="199" customFormat="1" ht="15.75" hidden="1" customHeight="1">
      <c r="A83" s="724" t="str">
        <f>IF(B83&lt;&gt;"",IF(AND(B83&gt;=_TM1,B83&lt;=_TM2,OR(TH!L83="1111",TH!M83="1111")),TH!D83,""),"")</f>
        <v>C01</v>
      </c>
      <c r="B83" s="36">
        <f t="shared" si="5"/>
        <v>10</v>
      </c>
      <c r="C83" s="185">
        <f t="shared" si="6"/>
        <v>41195</v>
      </c>
      <c r="D83" s="185" t="s">
        <v>487</v>
      </c>
      <c r="E83" s="178">
        <v>41195</v>
      </c>
      <c r="F83" s="183" t="s">
        <v>486</v>
      </c>
      <c r="G83" s="731" t="s">
        <v>427</v>
      </c>
      <c r="H83" s="7" t="s">
        <v>390</v>
      </c>
      <c r="I83" s="247"/>
      <c r="J83" s="247"/>
      <c r="K83" s="37">
        <v>7012500</v>
      </c>
      <c r="L83" s="188" t="s">
        <v>8</v>
      </c>
      <c r="M83" s="188" t="s">
        <v>47</v>
      </c>
      <c r="N83" s="49" t="str">
        <f>IF(AND('331-CT'!$E$7=TH!H83,OR(L83="331",M83="331")),"331",IF(AND(OR(L83="131",M83="131"),H83='131-CT'!$E$7),"131",""))</f>
        <v>331</v>
      </c>
      <c r="O83" s="49" t="str">
        <f>IF(AND($B83&gt;='111'!$N$11,$B83&lt;='111'!$O$11,OR($L83=$O$7,$M83=$O$7)),"x","")</f>
        <v>x</v>
      </c>
      <c r="P83" s="49" t="str">
        <f>IF(AND($L83=$O$7,$B83&lt;'111'!$N$11),"x","")</f>
        <v/>
      </c>
      <c r="Q83" s="49" t="str">
        <f>IF(AND($M83=$O$7,$B83&lt;'111'!$N$11),"x","")</f>
        <v/>
      </c>
      <c r="R83" s="49" t="str">
        <f>IF(ISERROR(FIND('112'!$M$9,G83,1)),"",IF((AND(FIND('112'!$M$9,G83,1)&gt;=1,$B83&gt;='112'!$N$8,$B83&lt;='112'!$O$8,OR($L83='112'!$I$6,$M83='112'!$I$6))),"x",""))</f>
        <v/>
      </c>
      <c r="S83" s="49" t="str">
        <f>IF(ISERROR(FIND('112'!$M$9,G83,1)),"",IF((AND(LEFT(G83,2)=LEFT('112'!$M$9,2),B83&lt;'112'!$N$8,$L83='112'!$I$6)),"x",""))</f>
        <v/>
      </c>
      <c r="T83" s="49" t="str">
        <f>IF(ISERROR(FIND('112'!$M$9,G83,1)),"",IF((AND(RIGHT(G83,2)=RIGHT('112'!$M$9,2),B83&lt;'112'!$N$8,$M83='112'!$I$6)),"x",""))</f>
        <v/>
      </c>
      <c r="U83" s="49" t="str">
        <f>IF(AND(L83="154",'154'!$O$5&lt;=B83,'154'!$P$5&gt;=B83),"154",IF(AND(L83="632",'632'!$L$5&lt;=B83,'632'!$M$5&gt;=B83),"632",IF(AND(L83="642",'642'!$N$5&lt;=B83,'642'!$O$5&gt;=B83),"642",IF(AND(L83="641",'641'!$N$5&lt;=B83,'641'!$O$5&gt;=B83),"641",""))))</f>
        <v/>
      </c>
      <c r="V83" s="49" t="str">
        <f>IF(OR(TH!L83=TH!$V$7,M83=TH!$V$7),"x","")</f>
        <v/>
      </c>
      <c r="W83" s="49" t="str">
        <f>IF(AND(B83&gt;='IN-NX'!$P$3,B83&lt;='IN-NX'!$Q$3,'IN-NX'!$D$7=D83,OR(LEFT(L83,2)="15",AND(LEFT(M83,2)&lt;&gt;"15",LEFT(M83,2)&lt;&gt;"33"))),"x","")</f>
        <v/>
      </c>
      <c r="X83" s="49" t="str">
        <f>IF(AND(OR(LEFT(TH!L83,2)="15",LEFT(TH!M83,2)="15"),'152-CT'!$J$8=TH!F83),"x","")</f>
        <v/>
      </c>
      <c r="Y83" s="49" t="str">
        <f>IF(AND(OR(LEFT(TH!L83,2)="15",LEFT(TH!M83,2)="15"),TK!$E$7=TH!F83),"x","")</f>
        <v/>
      </c>
      <c r="Z83" s="49" t="str">
        <f>IF(AND(B83&lt;=NKC!$N$8,B83&gt;=NKC!$M$8),"x","")</f>
        <v/>
      </c>
      <c r="AA83" s="723"/>
      <c r="AB83" s="497"/>
    </row>
    <row r="84" spans="1:30" s="199" customFormat="1" ht="15.75" hidden="1" customHeight="1">
      <c r="A84" s="724" t="str">
        <f>IF(B84&lt;&gt;"",IF(AND(B84&gt;=_TM1,B84&lt;=_TM2,OR(TH!L84="1111",TH!M84="1111")),TH!D84,""),"")</f>
        <v/>
      </c>
      <c r="B84" s="36">
        <f t="shared" si="5"/>
        <v>10</v>
      </c>
      <c r="C84" s="185">
        <f t="shared" si="6"/>
        <v>41198</v>
      </c>
      <c r="D84" s="178" t="s">
        <v>473</v>
      </c>
      <c r="E84" s="178">
        <v>41198</v>
      </c>
      <c r="F84" s="183" t="s">
        <v>476</v>
      </c>
      <c r="G84" s="731" t="s">
        <v>374</v>
      </c>
      <c r="H84" s="187" t="s">
        <v>481</v>
      </c>
      <c r="I84" s="247"/>
      <c r="J84" s="247"/>
      <c r="K84" s="505">
        <v>22732212</v>
      </c>
      <c r="L84" s="506" t="s">
        <v>24</v>
      </c>
      <c r="M84" s="506" t="s">
        <v>252</v>
      </c>
      <c r="N84" s="49" t="str">
        <f>IF(AND('331-CT'!$E$7=TH!H84,OR(L84="331",M84="331")),"331",IF(AND(OR(L84="131",M84="131"),H84='131-CT'!$E$7),"131",""))</f>
        <v/>
      </c>
      <c r="O84" s="49" t="str">
        <f>IF(AND($B84&gt;='111'!$N$11,$B84&lt;='111'!$O$11,OR($L84=$O$7,$M84=$O$7)),"x","")</f>
        <v/>
      </c>
      <c r="P84" s="49" t="str">
        <f>IF(AND($L84=$O$7,$B84&lt;'111'!$N$11),"x","")</f>
        <v/>
      </c>
      <c r="Q84" s="49" t="str">
        <f>IF(AND($M84=$O$7,$B84&lt;'111'!$N$11),"x","")</f>
        <v/>
      </c>
      <c r="R84" s="49" t="str">
        <f>IF(ISERROR(FIND('112'!$M$9,G84,1)),"",IF((AND(FIND('112'!$M$9,G84,1)&gt;=1,$B84&gt;='112'!$N$8,$B84&lt;='112'!$O$8,OR($L84='112'!$I$6,$M84='112'!$I$6))),"x",""))</f>
        <v>x</v>
      </c>
      <c r="S84" s="49" t="str">
        <f>IF(ISERROR(FIND('112'!$M$9,G84,1)),"",IF((AND(LEFT(G84,2)=LEFT('112'!$M$9,2),B84&lt;'112'!$N$8,$L84='112'!$I$6)),"x",""))</f>
        <v/>
      </c>
      <c r="T84" s="49" t="str">
        <f>IF(ISERROR(FIND('112'!$M$9,G84,1)),"",IF((AND(RIGHT(G84,2)=RIGHT('112'!$M$9,2),B84&lt;'112'!$N$8,$M84='112'!$I$6)),"x",""))</f>
        <v/>
      </c>
      <c r="U84" s="49" t="str">
        <f>IF(AND(L84="154",'154'!$O$5&lt;=B84,'154'!$P$5&gt;=B84),"154",IF(AND(L84="632",'632'!$L$5&lt;=B84,'632'!$M$5&gt;=B84),"632",IF(AND(L84="642",'642'!$N$5&lt;=B84,'642'!$O$5&gt;=B84),"642",IF(AND(L84="641",'641'!$N$5&lt;=B84,'641'!$O$5&gt;=B84),"641",""))))</f>
        <v/>
      </c>
      <c r="V84" s="49" t="str">
        <f>IF(OR(TH!L84=TH!$V$7,M84=TH!$V$7),"x","")</f>
        <v/>
      </c>
      <c r="W84" s="49" t="str">
        <f>IF(AND(B84&gt;='IN-NX'!$P$3,B84&lt;='IN-NX'!$Q$3,'IN-NX'!$D$7=D84,OR(LEFT(L84,2)="15",AND(LEFT(M84,2)&lt;&gt;"15",LEFT(M84,2)&lt;&gt;"33"))),"x","")</f>
        <v/>
      </c>
      <c r="X84" s="49" t="str">
        <f>IF(AND(OR(LEFT(TH!L84,2)="15",LEFT(TH!M84,2)="15"),'152-CT'!$J$8=TH!F84),"x","")</f>
        <v/>
      </c>
      <c r="Y84" s="49" t="str">
        <f>IF(AND(OR(LEFT(TH!L84,2)="15",LEFT(TH!M84,2)="15"),TK!$E$7=TH!F84),"x","")</f>
        <v/>
      </c>
      <c r="Z84" s="49" t="str">
        <f>IF(AND(B84&lt;=NKC!$N$8,B84&gt;=NKC!$M$8),"x","")</f>
        <v/>
      </c>
      <c r="AA84" s="723"/>
      <c r="AB84" s="497"/>
      <c r="AC84" s="497"/>
      <c r="AD84" s="497"/>
    </row>
    <row r="85" spans="1:30" s="199" customFormat="1" ht="15.75" hidden="1" customHeight="1">
      <c r="A85" s="724" t="str">
        <f>IF(B85&lt;&gt;"",IF(AND(B85&gt;=_TM1,B85&lt;=_TM2,OR(TH!L85="1111",TH!M85="1111")),TH!D85,""),"")</f>
        <v/>
      </c>
      <c r="B85" s="36">
        <f t="shared" si="5"/>
        <v>10</v>
      </c>
      <c r="C85" s="185">
        <f t="shared" si="6"/>
        <v>41198</v>
      </c>
      <c r="D85" s="178" t="s">
        <v>595</v>
      </c>
      <c r="E85" s="185">
        <v>41198</v>
      </c>
      <c r="F85" s="183" t="s">
        <v>550</v>
      </c>
      <c r="G85" s="732" t="s">
        <v>551</v>
      </c>
      <c r="H85" s="187" t="s">
        <v>552</v>
      </c>
      <c r="I85" s="247">
        <v>1000</v>
      </c>
      <c r="J85" s="247">
        <v>7660</v>
      </c>
      <c r="K85" s="505">
        <f>ROUND(I85*J85,0)</f>
        <v>7660000</v>
      </c>
      <c r="L85" s="506" t="s">
        <v>252</v>
      </c>
      <c r="M85" s="506" t="s">
        <v>164</v>
      </c>
      <c r="N85" s="49" t="str">
        <f>IF(AND('331-CT'!$E$7=TH!H85,OR(L85="331",M85="331")),"331",IF(AND(OR(L85="131",M85="131"),H85='131-CT'!$E$7),"131",""))</f>
        <v/>
      </c>
      <c r="O85" s="49" t="str">
        <f>IF(AND($B85&gt;='111'!$N$11,$B85&lt;='111'!$O$11,OR($L85=$O$7,$M85=$O$7)),"x","")</f>
        <v/>
      </c>
      <c r="P85" s="49" t="str">
        <f>IF(AND($L85=$O$7,$B85&lt;'111'!$N$11),"x","")</f>
        <v/>
      </c>
      <c r="Q85" s="49" t="str">
        <f>IF(AND($M85=$O$7,$B85&lt;'111'!$N$11),"x","")</f>
        <v/>
      </c>
      <c r="R85" s="49" t="str">
        <f>IF(ISERROR(FIND('112'!$M$9,G85,1)),"",IF((AND(FIND('112'!$M$9,G85,1)&gt;=1,$B85&gt;='112'!$N$8,$B85&lt;='112'!$O$8,OR($L85='112'!$I$6,$M85='112'!$I$6))),"x",""))</f>
        <v/>
      </c>
      <c r="S85" s="49" t="str">
        <f>IF(ISERROR(FIND('112'!$M$9,G85,1)),"",IF((AND(LEFT(G85,2)=LEFT('112'!$M$9,2),B85&lt;'112'!$N$8,$L85='112'!$I$6)),"x",""))</f>
        <v/>
      </c>
      <c r="T85" s="49" t="str">
        <f>IF(ISERROR(FIND('112'!$M$9,G85,1)),"",IF((AND(RIGHT(G85,2)=RIGHT('112'!$M$9,2),B85&lt;'112'!$N$8,$M85='112'!$I$6)),"x",""))</f>
        <v/>
      </c>
      <c r="U85" s="49" t="str">
        <f>IF(AND(L85="154",'154'!$O$5&lt;=B85,'154'!$P$5&gt;=B85),"154",IF(AND(L85="632",'632'!$L$5&lt;=B85,'632'!$M$5&gt;=B85),"632",IF(AND(L85="642",'642'!$N$5&lt;=B85,'642'!$O$5&gt;=B85),"642",IF(AND(L85="641",'641'!$N$5&lt;=B85,'641'!$O$5&gt;=B85),"641",""))))</f>
        <v/>
      </c>
      <c r="V85" s="49" t="str">
        <f>IF(OR(TH!L85=TH!$V$7,M85=TH!$V$7),"x","")</f>
        <v/>
      </c>
      <c r="W85" s="49" t="str">
        <f>IF(AND(B85&gt;='IN-NX'!$P$3,B85&lt;='IN-NX'!$Q$3,'IN-NX'!$D$7=D85,OR(LEFT(L85,2)="15",AND(LEFT(M85,2)&lt;&gt;"15",LEFT(M85,2)&lt;&gt;"33"))),"x","")</f>
        <v/>
      </c>
      <c r="X85" s="49" t="str">
        <f>IF(AND(OR(LEFT(TH!L85,2)="15",LEFT(TH!M85,2)="15"),'152-CT'!$J$8=TH!F85),"x","")</f>
        <v/>
      </c>
      <c r="Y85" s="49" t="str">
        <f>IF(AND(OR(LEFT(TH!L85,2)="15",LEFT(TH!M85,2)="15"),TK!$E$7=TH!F85),"x","")</f>
        <v/>
      </c>
      <c r="Z85" s="49" t="str">
        <f>IF(AND(B85&lt;=NKC!$N$8,B85&gt;=NKC!$M$8),"x","")</f>
        <v/>
      </c>
      <c r="AA85" s="723"/>
    </row>
    <row r="86" spans="1:30" s="199" customFormat="1" ht="15.75" hidden="1" customHeight="1">
      <c r="A86" s="724" t="str">
        <f>IF(B86&lt;&gt;"",IF(AND(B86&gt;=_TM1,B86&lt;=_TM2,OR(TH!L86="1111",TH!M86="1111")),TH!D86,""),"")</f>
        <v/>
      </c>
      <c r="B86" s="36">
        <f t="shared" si="5"/>
        <v>10</v>
      </c>
      <c r="C86" s="185">
        <f t="shared" si="6"/>
        <v>41198</v>
      </c>
      <c r="D86" s="178" t="s">
        <v>595</v>
      </c>
      <c r="E86" s="185">
        <v>41198</v>
      </c>
      <c r="F86" s="183" t="s">
        <v>538</v>
      </c>
      <c r="G86" s="732" t="s">
        <v>551</v>
      </c>
      <c r="H86" s="187" t="s">
        <v>552</v>
      </c>
      <c r="I86" s="247"/>
      <c r="J86" s="247"/>
      <c r="K86" s="505">
        <v>766000</v>
      </c>
      <c r="L86" s="506" t="s">
        <v>252</v>
      </c>
      <c r="M86" s="506" t="s">
        <v>297</v>
      </c>
      <c r="N86" s="49" t="str">
        <f>IF(AND('331-CT'!$E$7=TH!H86,OR(L86="331",M86="331")),"331",IF(AND(OR(L86="131",M86="131"),H86='131-CT'!$E$7),"131",""))</f>
        <v/>
      </c>
      <c r="O86" s="49" t="str">
        <f>IF(AND($B86&gt;='111'!$N$11,$B86&lt;='111'!$O$11,OR($L86=$O$7,$M86=$O$7)),"x","")</f>
        <v/>
      </c>
      <c r="P86" s="49" t="str">
        <f>IF(AND($L86=$O$7,$B86&lt;'111'!$N$11),"x","")</f>
        <v/>
      </c>
      <c r="Q86" s="49" t="str">
        <f>IF(AND($M86=$O$7,$B86&lt;'111'!$N$11),"x","")</f>
        <v/>
      </c>
      <c r="R86" s="49" t="str">
        <f>IF(ISERROR(FIND('112'!$M$9,G86,1)),"",IF((AND(FIND('112'!$M$9,G86,1)&gt;=1,$B86&gt;='112'!$N$8,$B86&lt;='112'!$O$8,OR($L86='112'!$I$6,$M86='112'!$I$6))),"x",""))</f>
        <v/>
      </c>
      <c r="S86" s="49" t="str">
        <f>IF(ISERROR(FIND('112'!$M$9,G86,1)),"",IF((AND(LEFT(G86,2)=LEFT('112'!$M$9,2),B86&lt;'112'!$N$8,$L86='112'!$I$6)),"x",""))</f>
        <v/>
      </c>
      <c r="T86" s="49" t="str">
        <f>IF(ISERROR(FIND('112'!$M$9,G86,1)),"",IF((AND(RIGHT(G86,2)=RIGHT('112'!$M$9,2),B86&lt;'112'!$N$8,$M86='112'!$I$6)),"x",""))</f>
        <v/>
      </c>
      <c r="U86" s="49" t="str">
        <f>IF(AND(L86="154",'154'!$O$5&lt;=B86,'154'!$P$5&gt;=B86),"154",IF(AND(L86="632",'632'!$L$5&lt;=B86,'632'!$M$5&gt;=B86),"632",IF(AND(L86="642",'642'!$N$5&lt;=B86,'642'!$O$5&gt;=B86),"642",IF(AND(L86="641",'641'!$N$5&lt;=B86,'641'!$O$5&gt;=B86),"641",""))))</f>
        <v/>
      </c>
      <c r="V86" s="49" t="str">
        <f>IF(OR(TH!L86=TH!$V$7,M86=TH!$V$7),"x","")</f>
        <v/>
      </c>
      <c r="W86" s="49" t="str">
        <f>IF(AND(B86&gt;='IN-NX'!$P$3,B86&lt;='IN-NX'!$Q$3,'IN-NX'!$D$7=D86,OR(LEFT(L86,2)="15",AND(LEFT(M86,2)&lt;&gt;"15",LEFT(M86,2)&lt;&gt;"33"))),"x","")</f>
        <v/>
      </c>
      <c r="X86" s="49" t="str">
        <f>IF(AND(OR(LEFT(TH!L86,2)="15",LEFT(TH!M86,2)="15"),'152-CT'!$J$8=TH!F86),"x","")</f>
        <v/>
      </c>
      <c r="Y86" s="49" t="str">
        <f>IF(AND(OR(LEFT(TH!L86,2)="15",LEFT(TH!M86,2)="15"),TK!$E$7=TH!F86),"x","")</f>
        <v/>
      </c>
      <c r="Z86" s="49" t="str">
        <f>IF(AND(B86&lt;=NKC!$N$8,B86&gt;=NKC!$M$8),"x","")</f>
        <v/>
      </c>
      <c r="AA86" s="723"/>
      <c r="AB86" s="497"/>
    </row>
    <row r="87" spans="1:30" s="199" customFormat="1" ht="15.75" hidden="1" customHeight="1">
      <c r="A87" s="724" t="str">
        <f>IF(B87&lt;&gt;"",IF(AND(B87&gt;=_TM1,B87&lt;=_TM2,OR(TH!L87="1111",TH!M87="1111")),TH!D87,""),"")</f>
        <v>C02</v>
      </c>
      <c r="B87" s="36">
        <f t="shared" si="5"/>
        <v>10</v>
      </c>
      <c r="C87" s="185">
        <f t="shared" si="6"/>
        <v>41199</v>
      </c>
      <c r="D87" s="185" t="s">
        <v>488</v>
      </c>
      <c r="E87" s="178">
        <v>41199</v>
      </c>
      <c r="F87" s="183" t="s">
        <v>408</v>
      </c>
      <c r="G87" s="731" t="s">
        <v>410</v>
      </c>
      <c r="H87" s="7" t="s">
        <v>411</v>
      </c>
      <c r="I87" s="247"/>
      <c r="J87" s="247"/>
      <c r="K87" s="37">
        <v>366032</v>
      </c>
      <c r="L87" s="188" t="s">
        <v>17</v>
      </c>
      <c r="M87" s="188" t="s">
        <v>47</v>
      </c>
      <c r="N87" s="49" t="str">
        <f>IF(AND('331-CT'!$E$7=TH!H87,OR(L87="331",M87="331")),"331",IF(AND(OR(L87="131",M87="131"),H87='131-CT'!$E$7),"131",""))</f>
        <v/>
      </c>
      <c r="O87" s="49" t="str">
        <f>IF(AND($B87&gt;='111'!$N$11,$B87&lt;='111'!$O$11,OR($L87=$O$7,$M87=$O$7)),"x","")</f>
        <v>x</v>
      </c>
      <c r="P87" s="49" t="str">
        <f>IF(AND($L87=$O$7,$B87&lt;'111'!$N$11),"x","")</f>
        <v/>
      </c>
      <c r="Q87" s="49" t="str">
        <f>IF(AND($M87=$O$7,$B87&lt;'111'!$N$11),"x","")</f>
        <v/>
      </c>
      <c r="R87" s="49" t="str">
        <f>IF(ISERROR(FIND('112'!$M$9,G87,1)),"",IF((AND(FIND('112'!$M$9,G87,1)&gt;=1,$B87&gt;='112'!$N$8,$B87&lt;='112'!$O$8,OR($L87='112'!$I$6,$M87='112'!$I$6))),"x",""))</f>
        <v/>
      </c>
      <c r="S87" s="49" t="str">
        <f>IF(ISERROR(FIND('112'!$M$9,G87,1)),"",IF((AND(LEFT(G87,2)=LEFT('112'!$M$9,2),B87&lt;'112'!$N$8,$L87='112'!$I$6)),"x",""))</f>
        <v/>
      </c>
      <c r="T87" s="49" t="str">
        <f>IF(ISERROR(FIND('112'!$M$9,G87,1)),"",IF((AND(RIGHT(G87,2)=RIGHT('112'!$M$9,2),B87&lt;'112'!$N$8,$M87='112'!$I$6)),"x",""))</f>
        <v/>
      </c>
      <c r="U87" s="49" t="str">
        <f>IF(AND(L87="154",'154'!$O$5&lt;=B87,'154'!$P$5&gt;=B87),"154",IF(AND(L87="632",'632'!$L$5&lt;=B87,'632'!$M$5&gt;=B87),"632",IF(AND(L87="642",'642'!$N$5&lt;=B87,'642'!$O$5&gt;=B87),"642",IF(AND(L87="641",'641'!$N$5&lt;=B87,'641'!$O$5&gt;=B87),"641",""))))</f>
        <v/>
      </c>
      <c r="V87" s="49" t="str">
        <f>IF(OR(TH!L87=TH!$V$7,M87=TH!$V$7),"x","")</f>
        <v/>
      </c>
      <c r="W87" s="49" t="str">
        <f>IF(AND(B87&gt;='IN-NX'!$P$3,B87&lt;='IN-NX'!$Q$3,'IN-NX'!$D$7=D87,OR(LEFT(L87,2)="15",AND(LEFT(M87,2)&lt;&gt;"15",LEFT(M87,2)&lt;&gt;"33"))),"x","")</f>
        <v/>
      </c>
      <c r="X87" s="49" t="str">
        <f>IF(AND(OR(LEFT(TH!L87,2)="15",LEFT(TH!M87,2)="15"),'152-CT'!$J$8=TH!F87),"x","")</f>
        <v/>
      </c>
      <c r="Y87" s="49" t="str">
        <f>IF(AND(OR(LEFT(TH!L87,2)="15",LEFT(TH!M87,2)="15"),TK!$E$7=TH!F87),"x","")</f>
        <v/>
      </c>
      <c r="Z87" s="49" t="str">
        <f>IF(AND(B87&lt;=NKC!$N$8,B87&gt;=NKC!$M$8),"x","")</f>
        <v/>
      </c>
      <c r="AA87" s="723"/>
      <c r="AB87" s="497"/>
    </row>
    <row r="88" spans="1:30" s="199" customFormat="1" ht="15.75" hidden="1" customHeight="1">
      <c r="A88" s="724" t="str">
        <f>IF(B88&lt;&gt;"",IF(AND(B88&gt;=_TM1,B88&lt;=_TM2,OR(TH!L88="1111",TH!M88="1111")),TH!D88,""),"")</f>
        <v>C02</v>
      </c>
      <c r="B88" s="36">
        <f t="shared" si="5"/>
        <v>10</v>
      </c>
      <c r="C88" s="185">
        <f t="shared" si="6"/>
        <v>41199</v>
      </c>
      <c r="D88" s="185" t="s">
        <v>488</v>
      </c>
      <c r="E88" s="178">
        <v>41199</v>
      </c>
      <c r="F88" s="183" t="s">
        <v>409</v>
      </c>
      <c r="G88" s="731" t="s">
        <v>410</v>
      </c>
      <c r="H88" s="7" t="s">
        <v>411</v>
      </c>
      <c r="I88" s="247"/>
      <c r="J88" s="247"/>
      <c r="K88" s="37">
        <v>750000</v>
      </c>
      <c r="L88" s="188" t="s">
        <v>63</v>
      </c>
      <c r="M88" s="188" t="s">
        <v>47</v>
      </c>
      <c r="N88" s="49" t="str">
        <f>IF(AND('331-CT'!$E$7=TH!H88,OR(L88="331",M88="331")),"331",IF(AND(OR(L88="131",M88="131"),H88='131-CT'!$E$7),"131",""))</f>
        <v/>
      </c>
      <c r="O88" s="49" t="str">
        <f>IF(AND($B88&gt;='111'!$N$11,$B88&lt;='111'!$O$11,OR($L88=$O$7,$M88=$O$7)),"x","")</f>
        <v>x</v>
      </c>
      <c r="P88" s="49" t="str">
        <f>IF(AND($L88=$O$7,$B88&lt;'111'!$N$11),"x","")</f>
        <v/>
      </c>
      <c r="Q88" s="49" t="str">
        <f>IF(AND($M88=$O$7,$B88&lt;'111'!$N$11),"x","")</f>
        <v/>
      </c>
      <c r="R88" s="49" t="str">
        <f>IF(ISERROR(FIND('112'!$M$9,G88,1)),"",IF((AND(FIND('112'!$M$9,G88,1)&gt;=1,$B88&gt;='112'!$N$8,$B88&lt;='112'!$O$8,OR($L88='112'!$I$6,$M88='112'!$I$6))),"x",""))</f>
        <v/>
      </c>
      <c r="S88" s="49" t="str">
        <f>IF(ISERROR(FIND('112'!$M$9,G88,1)),"",IF((AND(LEFT(G88,2)=LEFT('112'!$M$9,2),B88&lt;'112'!$N$8,$L88='112'!$I$6)),"x",""))</f>
        <v/>
      </c>
      <c r="T88" s="49" t="str">
        <f>IF(ISERROR(FIND('112'!$M$9,G88,1)),"",IF((AND(RIGHT(G88,2)=RIGHT('112'!$M$9,2),B88&lt;'112'!$N$8,$M88='112'!$I$6)),"x",""))</f>
        <v/>
      </c>
      <c r="U88" s="49" t="str">
        <f>IF(AND(L88="154",'154'!$O$5&lt;=B88,'154'!$P$5&gt;=B88),"154",IF(AND(L88="632",'632'!$L$5&lt;=B88,'632'!$M$5&gt;=B88),"632",IF(AND(L88="642",'642'!$N$5&lt;=B88,'642'!$O$5&gt;=B88),"642",IF(AND(L88="641",'641'!$N$5&lt;=B88,'641'!$O$5&gt;=B88),"641",""))))</f>
        <v/>
      </c>
      <c r="V88" s="49" t="str">
        <f>IF(OR(TH!L88=TH!$V$7,M88=TH!$V$7),"x","")</f>
        <v/>
      </c>
      <c r="W88" s="49" t="str">
        <f>IF(AND(B88&gt;='IN-NX'!$P$3,B88&lt;='IN-NX'!$Q$3,'IN-NX'!$D$7=D88,OR(LEFT(L88,2)="15",AND(LEFT(M88,2)&lt;&gt;"15",LEFT(M88,2)&lt;&gt;"33"))),"x","")</f>
        <v/>
      </c>
      <c r="X88" s="49" t="str">
        <f>IF(AND(OR(LEFT(TH!L88,2)="15",LEFT(TH!M88,2)="15"),'152-CT'!$J$8=TH!F88),"x","")</f>
        <v/>
      </c>
      <c r="Y88" s="49" t="str">
        <f>IF(AND(OR(LEFT(TH!L88,2)="15",LEFT(TH!M88,2)="15"),TK!$E$7=TH!F88),"x","")</f>
        <v/>
      </c>
      <c r="Z88" s="49" t="str">
        <f>IF(AND(B88&lt;=NKC!$N$8,B88&gt;=NKC!$M$8),"x","")</f>
        <v/>
      </c>
      <c r="AA88" s="723"/>
      <c r="AB88" s="497"/>
    </row>
    <row r="89" spans="1:30" s="199" customFormat="1" ht="15.75" hidden="1" customHeight="1">
      <c r="A89" s="724" t="str">
        <f>IF(B89&lt;&gt;"",IF(AND(B89&gt;=_TM1,B89&lt;=_TM2,OR(TH!L89="1111",TH!M89="1111")),TH!D89,""),"")</f>
        <v/>
      </c>
      <c r="B89" s="36">
        <f t="shared" si="5"/>
        <v>10</v>
      </c>
      <c r="C89" s="185">
        <f t="shared" si="6"/>
        <v>41199</v>
      </c>
      <c r="D89" s="185" t="s">
        <v>271</v>
      </c>
      <c r="E89" s="178">
        <v>41199</v>
      </c>
      <c r="F89" s="183" t="s">
        <v>412</v>
      </c>
      <c r="G89" s="731"/>
      <c r="H89" s="7" t="s">
        <v>411</v>
      </c>
      <c r="I89" s="247"/>
      <c r="J89" s="247"/>
      <c r="K89" s="37">
        <v>750000</v>
      </c>
      <c r="L89" s="188" t="s">
        <v>83</v>
      </c>
      <c r="M89" s="188" t="s">
        <v>63</v>
      </c>
      <c r="N89" s="49" t="str">
        <f>IF(AND('331-CT'!$E$7=TH!H89,OR(L89="331",M89="331")),"331",IF(AND(OR(L89="131",M89="131"),H89='131-CT'!$E$7),"131",""))</f>
        <v/>
      </c>
      <c r="O89" s="49" t="str">
        <f>IF(AND($B89&gt;='111'!$N$11,$B89&lt;='111'!$O$11,OR($L89=$O$7,$M89=$O$7)),"x","")</f>
        <v/>
      </c>
      <c r="P89" s="49" t="str">
        <f>IF(AND($L89=$O$7,$B89&lt;'111'!$N$11),"x","")</f>
        <v/>
      </c>
      <c r="Q89" s="49" t="str">
        <f>IF(AND($M89=$O$7,$B89&lt;'111'!$N$11),"x","")</f>
        <v/>
      </c>
      <c r="R89" s="49" t="str">
        <f>IF(ISERROR(FIND('112'!$M$9,G89,1)),"",IF((AND(FIND('112'!$M$9,G89,1)&gt;=1,$B89&gt;='112'!$N$8,$B89&lt;='112'!$O$8,OR($L89='112'!$I$6,$M89='112'!$I$6))),"x",""))</f>
        <v/>
      </c>
      <c r="S89" s="49" t="str">
        <f>IF(ISERROR(FIND('112'!$M$9,G89,1)),"",IF((AND(LEFT(G89,2)=LEFT('112'!$M$9,2),B89&lt;'112'!$N$8,$L89='112'!$I$6)),"x",""))</f>
        <v/>
      </c>
      <c r="T89" s="49" t="str">
        <f>IF(ISERROR(FIND('112'!$M$9,G89,1)),"",IF((AND(RIGHT(G89,2)=RIGHT('112'!$M$9,2),B89&lt;'112'!$N$8,$M89='112'!$I$6)),"x",""))</f>
        <v/>
      </c>
      <c r="U89" s="49" t="str">
        <f>IF(AND(L89="154",'154'!$O$5&lt;=B89,'154'!$P$5&gt;=B89),"154",IF(AND(L89="632",'632'!$L$5&lt;=B89,'632'!$M$5&gt;=B89),"632",IF(AND(L89="642",'642'!$N$5&lt;=B89,'642'!$O$5&gt;=B89),"642",IF(AND(L89="641",'641'!$N$5&lt;=B89,'641'!$O$5&gt;=B89),"641",""))))</f>
        <v/>
      </c>
      <c r="V89" s="49" t="str">
        <f>IF(OR(TH!L89=TH!$V$7,M89=TH!$V$7),"x","")</f>
        <v/>
      </c>
      <c r="W89" s="49" t="str">
        <f>IF(AND(B89&gt;='IN-NX'!$P$3,B89&lt;='IN-NX'!$Q$3,'IN-NX'!$D$7=D89,OR(LEFT(L89,2)="15",AND(LEFT(M89,2)&lt;&gt;"15",LEFT(M89,2)&lt;&gt;"33"))),"x","")</f>
        <v/>
      </c>
      <c r="X89" s="49" t="str">
        <f>IF(AND(OR(LEFT(TH!L89,2)="15",LEFT(TH!M89,2)="15"),'152-CT'!$J$8=TH!F89),"x","")</f>
        <v/>
      </c>
      <c r="Y89" s="49" t="str">
        <f>IF(AND(OR(LEFT(TH!L89,2)="15",LEFT(TH!M89,2)="15"),TK!$E$7=TH!F89),"x","")</f>
        <v/>
      </c>
      <c r="Z89" s="49" t="str">
        <f>IF(AND(B89&lt;=NKC!$N$8,B89&gt;=NKC!$M$8),"x","")</f>
        <v/>
      </c>
      <c r="AA89" s="723"/>
      <c r="AB89" s="497"/>
    </row>
    <row r="90" spans="1:30" s="199" customFormat="1" ht="15.75" hidden="1" customHeight="1">
      <c r="A90" s="724" t="str">
        <f>IF(B90&lt;&gt;"",IF(AND(B90&gt;=_TM1,B90&lt;=_TM2,OR(TH!L90="1111",TH!M90="1111")),TH!D90,""),"")</f>
        <v>C03</v>
      </c>
      <c r="B90" s="36">
        <f t="shared" si="5"/>
        <v>10</v>
      </c>
      <c r="C90" s="185">
        <f t="shared" si="6"/>
        <v>41201</v>
      </c>
      <c r="D90" s="185" t="s">
        <v>489</v>
      </c>
      <c r="E90" s="178">
        <v>41201</v>
      </c>
      <c r="F90" s="186" t="s">
        <v>417</v>
      </c>
      <c r="G90" s="731" t="s">
        <v>418</v>
      </c>
      <c r="H90" s="7" t="s">
        <v>416</v>
      </c>
      <c r="I90" s="247"/>
      <c r="J90" s="247"/>
      <c r="K90" s="37">
        <v>272000</v>
      </c>
      <c r="L90" s="188" t="s">
        <v>83</v>
      </c>
      <c r="M90" s="188" t="s">
        <v>47</v>
      </c>
      <c r="N90" s="49" t="str">
        <f>IF(AND('331-CT'!$E$7=TH!H90,OR(L90="331",M90="331")),"331",IF(AND(OR(L90="131",M90="131"),H90='131-CT'!$E$7),"131",""))</f>
        <v/>
      </c>
      <c r="O90" s="49" t="str">
        <f>IF(AND($B90&gt;='111'!$N$11,$B90&lt;='111'!$O$11,OR($L90=$O$7,$M90=$O$7)),"x","")</f>
        <v>x</v>
      </c>
      <c r="P90" s="49" t="str">
        <f>IF(AND($L90=$O$7,$B90&lt;'111'!$N$11),"x","")</f>
        <v/>
      </c>
      <c r="Q90" s="49" t="str">
        <f>IF(AND($M90=$O$7,$B90&lt;'111'!$N$11),"x","")</f>
        <v/>
      </c>
      <c r="R90" s="49" t="str">
        <f>IF(ISERROR(FIND('112'!$M$9,G90,1)),"",IF((AND(FIND('112'!$M$9,G90,1)&gt;=1,$B90&gt;='112'!$N$8,$B90&lt;='112'!$O$8,OR($L90='112'!$I$6,$M90='112'!$I$6))),"x",""))</f>
        <v/>
      </c>
      <c r="S90" s="49" t="str">
        <f>IF(ISERROR(FIND('112'!$M$9,G90,1)),"",IF((AND(LEFT(G90,2)=LEFT('112'!$M$9,2),B90&lt;'112'!$N$8,$L90='112'!$I$6)),"x",""))</f>
        <v/>
      </c>
      <c r="T90" s="49" t="str">
        <f>IF(ISERROR(FIND('112'!$M$9,G90,1)),"",IF((AND(RIGHT(G90,2)=RIGHT('112'!$M$9,2),B90&lt;'112'!$N$8,$M90='112'!$I$6)),"x",""))</f>
        <v/>
      </c>
      <c r="U90" s="49" t="str">
        <f>IF(AND(L90="154",'154'!$O$5&lt;=B90,'154'!$P$5&gt;=B90),"154",IF(AND(L90="632",'632'!$L$5&lt;=B90,'632'!$M$5&gt;=B90),"632",IF(AND(L90="642",'642'!$N$5&lt;=B90,'642'!$O$5&gt;=B90),"642",IF(AND(L90="641",'641'!$N$5&lt;=B90,'641'!$O$5&gt;=B90),"641",""))))</f>
        <v/>
      </c>
      <c r="V90" s="49" t="str">
        <f>IF(OR(TH!L90=TH!$V$7,M90=TH!$V$7),"x","")</f>
        <v/>
      </c>
      <c r="W90" s="49" t="str">
        <f>IF(AND(B90&gt;='IN-NX'!$P$3,B90&lt;='IN-NX'!$Q$3,'IN-NX'!$D$7=D90,OR(LEFT(L90,2)="15",AND(LEFT(M90,2)&lt;&gt;"15",LEFT(M90,2)&lt;&gt;"33"))),"x","")</f>
        <v/>
      </c>
      <c r="X90" s="49" t="str">
        <f>IF(AND(OR(LEFT(TH!L90,2)="15",LEFT(TH!M90,2)="15"),'152-CT'!$J$8=TH!F90),"x","")</f>
        <v/>
      </c>
      <c r="Y90" s="49" t="str">
        <f>IF(AND(OR(LEFT(TH!L90,2)="15",LEFT(TH!M90,2)="15"),TK!$E$7=TH!F90),"x","")</f>
        <v/>
      </c>
      <c r="Z90" s="49" t="str">
        <f>IF(AND(B90&lt;=NKC!$N$8,B90&gt;=NKC!$M$8),"x","")</f>
        <v/>
      </c>
      <c r="AA90" s="723"/>
      <c r="AB90" s="497"/>
    </row>
    <row r="91" spans="1:30" s="199" customFormat="1" ht="15.75" hidden="1" customHeight="1">
      <c r="A91" s="724" t="str">
        <f>IF(B91&lt;&gt;"",IF(AND(B91&gt;=_TM1,B91&lt;=_TM2,OR(TH!L91="1111",TH!M91="1111")),TH!D91,""),"")</f>
        <v/>
      </c>
      <c r="B91" s="36">
        <f t="shared" ref="B91:B154" si="9">IF(C91&lt;&gt;"",MONTH(C91),"")</f>
        <v>10</v>
      </c>
      <c r="C91" s="185">
        <f t="shared" ref="C91:C154" si="10">E91</f>
        <v>41201</v>
      </c>
      <c r="D91" s="185" t="s">
        <v>500</v>
      </c>
      <c r="E91" s="178">
        <v>41201</v>
      </c>
      <c r="F91" s="183" t="s">
        <v>396</v>
      </c>
      <c r="G91" s="731" t="s">
        <v>428</v>
      </c>
      <c r="H91" s="7" t="s">
        <v>390</v>
      </c>
      <c r="I91" s="247">
        <v>500</v>
      </c>
      <c r="J91" s="247">
        <v>11622</v>
      </c>
      <c r="K91" s="37">
        <f>ROUND(I91*J91,0)</f>
        <v>5811000</v>
      </c>
      <c r="L91" s="188" t="s">
        <v>375</v>
      </c>
      <c r="M91" s="188" t="s">
        <v>8</v>
      </c>
      <c r="N91" s="49" t="str">
        <f>IF(AND('331-CT'!$E$7=TH!H91,OR(L91="331",M91="331")),"331",IF(AND(OR(L91="131",M91="131"),H91='131-CT'!$E$7),"131",""))</f>
        <v>331</v>
      </c>
      <c r="O91" s="49" t="str">
        <f>IF(AND($B91&gt;='111'!$N$11,$B91&lt;='111'!$O$11,OR($L91=$O$7,$M91=$O$7)),"x","")</f>
        <v/>
      </c>
      <c r="P91" s="49" t="str">
        <f>IF(AND($L91=$O$7,$B91&lt;'111'!$N$11),"x","")</f>
        <v/>
      </c>
      <c r="Q91" s="49" t="str">
        <f>IF(AND($M91=$O$7,$B91&lt;'111'!$N$11),"x","")</f>
        <v/>
      </c>
      <c r="R91" s="49" t="str">
        <f>IF(ISERROR(FIND('112'!$M$9,G91,1)),"",IF((AND(FIND('112'!$M$9,G91,1)&gt;=1,$B91&gt;='112'!$N$8,$B91&lt;='112'!$O$8,OR($L91='112'!$I$6,$M91='112'!$I$6))),"x",""))</f>
        <v/>
      </c>
      <c r="S91" s="49" t="str">
        <f>IF(ISERROR(FIND('112'!$M$9,G91,1)),"",IF((AND(LEFT(G91,2)=LEFT('112'!$M$9,2),B91&lt;'112'!$N$8,$L91='112'!$I$6)),"x",""))</f>
        <v/>
      </c>
      <c r="T91" s="49" t="str">
        <f>IF(ISERROR(FIND('112'!$M$9,G91,1)),"",IF((AND(RIGHT(G91,2)=RIGHT('112'!$M$9,2),B91&lt;'112'!$N$8,$M91='112'!$I$6)),"x",""))</f>
        <v/>
      </c>
      <c r="U91" s="49" t="str">
        <f>IF(AND(L91="154",'154'!$O$5&lt;=B91,'154'!$P$5&gt;=B91),"154",IF(AND(L91="632",'632'!$L$5&lt;=B91,'632'!$M$5&gt;=B91),"632",IF(AND(L91="642",'642'!$N$5&lt;=B91,'642'!$O$5&gt;=B91),"642",IF(AND(L91="641",'641'!$N$5&lt;=B91,'641'!$O$5&gt;=B91),"641",""))))</f>
        <v/>
      </c>
      <c r="V91" s="49" t="str">
        <f>IF(OR(TH!L91=TH!$V$7,M91=TH!$V$7),"x","")</f>
        <v/>
      </c>
      <c r="W91" s="49" t="str">
        <f>IF(AND(B91&gt;='IN-NX'!$P$3,B91&lt;='IN-NX'!$Q$3,'IN-NX'!$D$7=D91,OR(LEFT(L91,2)="15",AND(LEFT(M91,2)&lt;&gt;"15",LEFT(M91,2)&lt;&gt;"33"))),"x","")</f>
        <v/>
      </c>
      <c r="X91" s="49" t="str">
        <f>IF(AND(OR(LEFT(TH!L91,2)="15",LEFT(TH!M91,2)="15"),'152-CT'!$J$8=TH!F91),"x","")</f>
        <v/>
      </c>
      <c r="Y91" s="49" t="str">
        <f>IF(AND(OR(LEFT(TH!L91,2)="15",LEFT(TH!M91,2)="15"),TK!$E$7=TH!F91),"x","")</f>
        <v/>
      </c>
      <c r="Z91" s="49" t="str">
        <f>IF(AND(B91&lt;=NKC!$N$8,B91&gt;=NKC!$M$8),"x","")</f>
        <v/>
      </c>
      <c r="AA91" s="723"/>
      <c r="AB91" s="497"/>
    </row>
    <row r="92" spans="1:30" s="199" customFormat="1" ht="15.75" hidden="1" customHeight="1">
      <c r="A92" s="724" t="str">
        <f>IF(B92&lt;&gt;"",IF(AND(B92&gt;=_TM1,B92&lt;=_TM2,OR(TH!L92="1111",TH!M92="1111")),TH!D92,""),"")</f>
        <v/>
      </c>
      <c r="B92" s="36">
        <f t="shared" si="9"/>
        <v>10</v>
      </c>
      <c r="C92" s="185">
        <f t="shared" si="10"/>
        <v>41201</v>
      </c>
      <c r="D92" s="185" t="s">
        <v>500</v>
      </c>
      <c r="E92" s="178">
        <v>41201</v>
      </c>
      <c r="F92" s="183" t="s">
        <v>429</v>
      </c>
      <c r="G92" s="731" t="s">
        <v>428</v>
      </c>
      <c r="H92" s="7" t="s">
        <v>390</v>
      </c>
      <c r="I92" s="247">
        <v>500</v>
      </c>
      <c r="J92" s="247">
        <v>8556</v>
      </c>
      <c r="K92" s="37">
        <f>ROUND(I92*J92,0)</f>
        <v>4278000</v>
      </c>
      <c r="L92" s="188" t="s">
        <v>375</v>
      </c>
      <c r="M92" s="188" t="s">
        <v>8</v>
      </c>
      <c r="N92" s="49" t="str">
        <f>IF(AND('331-CT'!$E$7=TH!H92,OR(L92="331",M92="331")),"331",IF(AND(OR(L92="131",M92="131"),H92='131-CT'!$E$7),"131",""))</f>
        <v>331</v>
      </c>
      <c r="O92" s="49" t="str">
        <f>IF(AND($B92&gt;='111'!$N$11,$B92&lt;='111'!$O$11,OR($L92=$O$7,$M92=$O$7)),"x","")</f>
        <v/>
      </c>
      <c r="P92" s="49" t="str">
        <f>IF(AND($L92=$O$7,$B92&lt;'111'!$N$11),"x","")</f>
        <v/>
      </c>
      <c r="Q92" s="49" t="str">
        <f>IF(AND($M92=$O$7,$B92&lt;'111'!$N$11),"x","")</f>
        <v/>
      </c>
      <c r="R92" s="49" t="str">
        <f>IF(ISERROR(FIND('112'!$M$9,G92,1)),"",IF((AND(FIND('112'!$M$9,G92,1)&gt;=1,$B92&gt;='112'!$N$8,$B92&lt;='112'!$O$8,OR($L92='112'!$I$6,$M92='112'!$I$6))),"x",""))</f>
        <v/>
      </c>
      <c r="S92" s="49" t="str">
        <f>IF(ISERROR(FIND('112'!$M$9,G92,1)),"",IF((AND(LEFT(G92,2)=LEFT('112'!$M$9,2),B92&lt;'112'!$N$8,$L92='112'!$I$6)),"x",""))</f>
        <v/>
      </c>
      <c r="T92" s="49" t="str">
        <f>IF(ISERROR(FIND('112'!$M$9,G92,1)),"",IF((AND(RIGHT(G92,2)=RIGHT('112'!$M$9,2),B92&lt;'112'!$N$8,$M92='112'!$I$6)),"x",""))</f>
        <v/>
      </c>
      <c r="U92" s="49" t="str">
        <f>IF(AND(L92="154",'154'!$O$5&lt;=B92,'154'!$P$5&gt;=B92),"154",IF(AND(L92="632",'632'!$L$5&lt;=B92,'632'!$M$5&gt;=B92),"632",IF(AND(L92="642",'642'!$N$5&lt;=B92,'642'!$O$5&gt;=B92),"642",IF(AND(L92="641",'641'!$N$5&lt;=B92,'641'!$O$5&gt;=B92),"641",""))))</f>
        <v/>
      </c>
      <c r="V92" s="49" t="str">
        <f>IF(OR(TH!L92=TH!$V$7,M92=TH!$V$7),"x","")</f>
        <v/>
      </c>
      <c r="W92" s="49" t="str">
        <f>IF(AND(B92&gt;='IN-NX'!$P$3,B92&lt;='IN-NX'!$Q$3,'IN-NX'!$D$7=D92,OR(LEFT(L92,2)="15",AND(LEFT(M92,2)&lt;&gt;"15",LEFT(M92,2)&lt;&gt;"33"))),"x","")</f>
        <v/>
      </c>
      <c r="X92" s="49" t="str">
        <f>IF(AND(OR(LEFT(TH!L92,2)="15",LEFT(TH!M92,2)="15"),'152-CT'!$J$8=TH!F92),"x","")</f>
        <v/>
      </c>
      <c r="Y92" s="49" t="str">
        <f>IF(AND(OR(LEFT(TH!L92,2)="15",LEFT(TH!M92,2)="15"),TK!$E$7=TH!F92),"x","")</f>
        <v/>
      </c>
      <c r="Z92" s="49" t="str">
        <f>IF(AND(B92&lt;=NKC!$N$8,B92&gt;=NKC!$M$8),"x","")</f>
        <v/>
      </c>
      <c r="AA92" s="723"/>
      <c r="AB92" s="497"/>
    </row>
    <row r="93" spans="1:30" s="199" customFormat="1" ht="15.75" customHeight="1">
      <c r="A93" s="724" t="str">
        <f>IF(B93&lt;&gt;"",IF(AND(B93&gt;=_TM1,B93&lt;=_TM2,OR(TH!L93="1111",TH!M93="1111")),TH!D93,""),"")</f>
        <v/>
      </c>
      <c r="B93" s="36">
        <f t="shared" si="9"/>
        <v>10</v>
      </c>
      <c r="C93" s="185">
        <f t="shared" si="10"/>
        <v>41201</v>
      </c>
      <c r="D93" s="185" t="s">
        <v>500</v>
      </c>
      <c r="E93" s="178">
        <v>41201</v>
      </c>
      <c r="F93" s="183" t="s">
        <v>392</v>
      </c>
      <c r="G93" s="731" t="s">
        <v>428</v>
      </c>
      <c r="H93" s="7" t="s">
        <v>390</v>
      </c>
      <c r="I93" s="247"/>
      <c r="J93" s="247"/>
      <c r="K93" s="37">
        <v>1008900</v>
      </c>
      <c r="L93" s="188" t="s">
        <v>9</v>
      </c>
      <c r="M93" s="188" t="s">
        <v>8</v>
      </c>
      <c r="N93" s="49" t="str">
        <f>IF(AND('331-CT'!$E$7=TH!H93,OR(L93="331",M93="331")),"331",IF(AND(OR(L93="131",M93="131"),H93='131-CT'!$E$7),"131",""))</f>
        <v>331</v>
      </c>
      <c r="O93" s="49" t="str">
        <f>IF(AND($B93&gt;='111'!$N$11,$B93&lt;='111'!$O$11,OR($L93=$O$7,$M93=$O$7)),"x","")</f>
        <v/>
      </c>
      <c r="P93" s="49" t="str">
        <f>IF(AND($L93=$O$7,$B93&lt;'111'!$N$11),"x","")</f>
        <v/>
      </c>
      <c r="Q93" s="49" t="str">
        <f>IF(AND($M93=$O$7,$B93&lt;'111'!$N$11),"x","")</f>
        <v/>
      </c>
      <c r="R93" s="49" t="str">
        <f>IF(ISERROR(FIND('112'!$M$9,G93,1)),"",IF((AND(FIND('112'!$M$9,G93,1)&gt;=1,$B93&gt;='112'!$N$8,$B93&lt;='112'!$O$8,OR($L93='112'!$I$6,$M93='112'!$I$6))),"x",""))</f>
        <v/>
      </c>
      <c r="S93" s="49" t="str">
        <f>IF(ISERROR(FIND('112'!$M$9,G93,1)),"",IF((AND(LEFT(G93,2)=LEFT('112'!$M$9,2),B93&lt;'112'!$N$8,$L93='112'!$I$6)),"x",""))</f>
        <v/>
      </c>
      <c r="T93" s="49" t="str">
        <f>IF(ISERROR(FIND('112'!$M$9,G93,1)),"",IF((AND(RIGHT(G93,2)=RIGHT('112'!$M$9,2),B93&lt;'112'!$N$8,$M93='112'!$I$6)),"x",""))</f>
        <v/>
      </c>
      <c r="U93" s="49" t="str">
        <f>IF(AND(L93="154",'154'!$O$5&lt;=B93,'154'!$P$5&gt;=B93),"154",IF(AND(L93="632",'632'!$L$5&lt;=B93,'632'!$M$5&gt;=B93),"632",IF(AND(L93="642",'642'!$N$5&lt;=B93,'642'!$O$5&gt;=B93),"642",IF(AND(L93="641",'641'!$N$5&lt;=B93,'641'!$O$5&gt;=B93),"641",""))))</f>
        <v/>
      </c>
      <c r="V93" s="49" t="str">
        <f>IF(OR(TH!L93=TH!$V$7,M93=TH!$V$7),"x","")</f>
        <v>x</v>
      </c>
      <c r="W93" s="49" t="str">
        <f>IF(AND(B93&gt;='IN-NX'!$P$3,B93&lt;='IN-NX'!$Q$3,'IN-NX'!$D$7=D93,OR(LEFT(L93,2)="15",AND(LEFT(M93,2)&lt;&gt;"15",LEFT(M93,2)&lt;&gt;"33"))),"x","")</f>
        <v/>
      </c>
      <c r="X93" s="49" t="str">
        <f>IF(AND(OR(LEFT(TH!L93,2)="15",LEFT(TH!M93,2)="15"),'152-CT'!$J$8=TH!F93),"x","")</f>
        <v/>
      </c>
      <c r="Y93" s="49" t="str">
        <f>IF(AND(OR(LEFT(TH!L93,2)="15",LEFT(TH!M93,2)="15"),TK!$E$7=TH!F93),"x","")</f>
        <v/>
      </c>
      <c r="Z93" s="49" t="str">
        <f>IF(AND(B93&lt;=NKC!$N$8,B93&gt;=NKC!$M$8),"x","")</f>
        <v/>
      </c>
      <c r="AA93" s="723">
        <v>10</v>
      </c>
      <c r="AB93" s="497"/>
    </row>
    <row r="94" spans="1:30" s="199" customFormat="1" ht="15.75" hidden="1" customHeight="1">
      <c r="A94" s="724" t="str">
        <f>IF(B94&lt;&gt;"",IF(AND(B94&gt;=_TM1,B94&lt;=_TM2,OR(TH!L94="1111",TH!M94="1111")),TH!D94,""),"")</f>
        <v>C04</v>
      </c>
      <c r="B94" s="36">
        <f t="shared" si="9"/>
        <v>10</v>
      </c>
      <c r="C94" s="185">
        <f t="shared" si="10"/>
        <v>41201</v>
      </c>
      <c r="D94" s="185" t="s">
        <v>490</v>
      </c>
      <c r="E94" s="178">
        <v>41201</v>
      </c>
      <c r="F94" s="183" t="s">
        <v>486</v>
      </c>
      <c r="G94" s="731" t="s">
        <v>428</v>
      </c>
      <c r="H94" s="7" t="s">
        <v>390</v>
      </c>
      <c r="I94" s="247"/>
      <c r="J94" s="247"/>
      <c r="K94" s="37">
        <v>11097900</v>
      </c>
      <c r="L94" s="188" t="s">
        <v>8</v>
      </c>
      <c r="M94" s="188" t="s">
        <v>47</v>
      </c>
      <c r="N94" s="49" t="str">
        <f>IF(AND('331-CT'!$E$7=TH!H94,OR(L94="331",M94="331")),"331",IF(AND(OR(L94="131",M94="131"),H94='131-CT'!$E$7),"131",""))</f>
        <v>331</v>
      </c>
      <c r="O94" s="49" t="str">
        <f>IF(AND($B94&gt;='111'!$N$11,$B94&lt;='111'!$O$11,OR($L94=$O$7,$M94=$O$7)),"x","")</f>
        <v>x</v>
      </c>
      <c r="P94" s="49" t="str">
        <f>IF(AND($L94=$O$7,$B94&lt;'111'!$N$11),"x","")</f>
        <v/>
      </c>
      <c r="Q94" s="49" t="str">
        <f>IF(AND($M94=$O$7,$B94&lt;'111'!$N$11),"x","")</f>
        <v/>
      </c>
      <c r="R94" s="49" t="str">
        <f>IF(ISERROR(FIND('112'!$M$9,G94,1)),"",IF((AND(FIND('112'!$M$9,G94,1)&gt;=1,$B94&gt;='112'!$N$8,$B94&lt;='112'!$O$8,OR($L94='112'!$I$6,$M94='112'!$I$6))),"x",""))</f>
        <v/>
      </c>
      <c r="S94" s="49" t="str">
        <f>IF(ISERROR(FIND('112'!$M$9,G94,1)),"",IF((AND(LEFT(G94,2)=LEFT('112'!$M$9,2),B94&lt;'112'!$N$8,$L94='112'!$I$6)),"x",""))</f>
        <v/>
      </c>
      <c r="T94" s="49" t="str">
        <f>IF(ISERROR(FIND('112'!$M$9,G94,1)),"",IF((AND(RIGHT(G94,2)=RIGHT('112'!$M$9,2),B94&lt;'112'!$N$8,$M94='112'!$I$6)),"x",""))</f>
        <v/>
      </c>
      <c r="U94" s="49" t="str">
        <f>IF(AND(L94="154",'154'!$O$5&lt;=B94,'154'!$P$5&gt;=B94),"154",IF(AND(L94="632",'632'!$L$5&lt;=B94,'632'!$M$5&gt;=B94),"632",IF(AND(L94="642",'642'!$N$5&lt;=B94,'642'!$O$5&gt;=B94),"642",IF(AND(L94="641",'641'!$N$5&lt;=B94,'641'!$O$5&gt;=B94),"641",""))))</f>
        <v/>
      </c>
      <c r="V94" s="49" t="str">
        <f>IF(OR(TH!L94=TH!$V$7,M94=TH!$V$7),"x","")</f>
        <v/>
      </c>
      <c r="W94" s="49" t="str">
        <f>IF(AND(B94&gt;='IN-NX'!$P$3,B94&lt;='IN-NX'!$Q$3,'IN-NX'!$D$7=D94,OR(LEFT(L94,2)="15",AND(LEFT(M94,2)&lt;&gt;"15",LEFT(M94,2)&lt;&gt;"33"))),"x","")</f>
        <v/>
      </c>
      <c r="X94" s="49" t="str">
        <f>IF(AND(OR(LEFT(TH!L94,2)="15",LEFT(TH!M94,2)="15"),'152-CT'!$J$8=TH!F94),"x","")</f>
        <v/>
      </c>
      <c r="Y94" s="49" t="str">
        <f>IF(AND(OR(LEFT(TH!L94,2)="15",LEFT(TH!M94,2)="15"),TK!$E$7=TH!F94),"x","")</f>
        <v/>
      </c>
      <c r="Z94" s="49" t="str">
        <f>IF(AND(B94&lt;=NKC!$N$8,B94&gt;=NKC!$M$8),"x","")</f>
        <v/>
      </c>
      <c r="AA94" s="723"/>
      <c r="AB94" s="497"/>
    </row>
    <row r="95" spans="1:30" s="199" customFormat="1" ht="15.75" hidden="1" customHeight="1">
      <c r="A95" s="724" t="str">
        <f>IF(B95&lt;&gt;"",IF(AND(B95&gt;=_TM1,B95&lt;=_TM2,OR(TH!L95="1111",TH!M95="1111")),TH!D95,""),"")</f>
        <v>C05</v>
      </c>
      <c r="B95" s="36">
        <f t="shared" si="9"/>
        <v>10</v>
      </c>
      <c r="C95" s="185">
        <f t="shared" si="10"/>
        <v>41202</v>
      </c>
      <c r="D95" s="185" t="s">
        <v>491</v>
      </c>
      <c r="E95" s="178">
        <v>41202</v>
      </c>
      <c r="F95" s="186" t="s">
        <v>379</v>
      </c>
      <c r="G95" s="731" t="s">
        <v>430</v>
      </c>
      <c r="H95" s="198" t="s">
        <v>378</v>
      </c>
      <c r="I95" s="247"/>
      <c r="J95" s="247"/>
      <c r="K95" s="37">
        <f>187273+62727</f>
        <v>250000</v>
      </c>
      <c r="L95" s="188" t="s">
        <v>83</v>
      </c>
      <c r="M95" s="188" t="s">
        <v>47</v>
      </c>
      <c r="N95" s="49" t="str">
        <f>IF(AND('331-CT'!$E$7=TH!H95,OR(L95="331",M95="331")),"331",IF(AND(OR(L95="131",M95="131"),H95='131-CT'!$E$7),"131",""))</f>
        <v/>
      </c>
      <c r="O95" s="49" t="str">
        <f>IF(AND($B95&gt;='111'!$N$11,$B95&lt;='111'!$O$11,OR($L95=$O$7,$M95=$O$7)),"x","")</f>
        <v>x</v>
      </c>
      <c r="P95" s="49" t="str">
        <f>IF(AND($L95=$O$7,$B95&lt;'111'!$N$11),"x","")</f>
        <v/>
      </c>
      <c r="Q95" s="49" t="str">
        <f>IF(AND($M95=$O$7,$B95&lt;'111'!$N$11),"x","")</f>
        <v/>
      </c>
      <c r="R95" s="49" t="str">
        <f>IF(ISERROR(FIND('112'!$M$9,G95,1)),"",IF((AND(FIND('112'!$M$9,G95,1)&gt;=1,$B95&gt;='112'!$N$8,$B95&lt;='112'!$O$8,OR($L95='112'!$I$6,$M95='112'!$I$6))),"x",""))</f>
        <v/>
      </c>
      <c r="S95" s="49" t="str">
        <f>IF(ISERROR(FIND('112'!$M$9,G95,1)),"",IF((AND(LEFT(G95,2)=LEFT('112'!$M$9,2),B95&lt;'112'!$N$8,$L95='112'!$I$6)),"x",""))</f>
        <v/>
      </c>
      <c r="T95" s="49" t="str">
        <f>IF(ISERROR(FIND('112'!$M$9,G95,1)),"",IF((AND(RIGHT(G95,2)=RIGHT('112'!$M$9,2),B95&lt;'112'!$N$8,$M95='112'!$I$6)),"x",""))</f>
        <v/>
      </c>
      <c r="U95" s="49" t="str">
        <f>IF(AND(L95="154",'154'!$O$5&lt;=B95,'154'!$P$5&gt;=B95),"154",IF(AND(L95="632",'632'!$L$5&lt;=B95,'632'!$M$5&gt;=B95),"632",IF(AND(L95="642",'642'!$N$5&lt;=B95,'642'!$O$5&gt;=B95),"642",IF(AND(L95="641",'641'!$N$5&lt;=B95,'641'!$O$5&gt;=B95),"641",""))))</f>
        <v/>
      </c>
      <c r="V95" s="49" t="str">
        <f>IF(OR(TH!L95=TH!$V$7,M95=TH!$V$7),"x","")</f>
        <v/>
      </c>
      <c r="W95" s="49" t="str">
        <f>IF(AND(B95&gt;='IN-NX'!$P$3,B95&lt;='IN-NX'!$Q$3,'IN-NX'!$D$7=D95,OR(LEFT(L95,2)="15",AND(LEFT(M95,2)&lt;&gt;"15",LEFT(M95,2)&lt;&gt;"33"))),"x","")</f>
        <v/>
      </c>
      <c r="X95" s="49" t="str">
        <f>IF(AND(OR(LEFT(TH!L95,2)="15",LEFT(TH!M95,2)="15"),'152-CT'!$J$8=TH!F95),"x","")</f>
        <v/>
      </c>
      <c r="Y95" s="49" t="str">
        <f>IF(AND(OR(LEFT(TH!L95,2)="15",LEFT(TH!M95,2)="15"),TK!$E$7=TH!F95),"x","")</f>
        <v/>
      </c>
      <c r="Z95" s="49" t="str">
        <f>IF(AND(B95&lt;=NKC!$N$8,B95&gt;=NKC!$M$8),"x","")</f>
        <v/>
      </c>
      <c r="AA95" s="723"/>
      <c r="AB95" s="497"/>
    </row>
    <row r="96" spans="1:30" s="199" customFormat="1" ht="15.75" customHeight="1">
      <c r="A96" s="724" t="str">
        <f>IF(B96&lt;&gt;"",IF(AND(B96&gt;=_TM1,B96&lt;=_TM2,OR(TH!L96="1111",TH!M96="1111")),TH!D96,""),"")</f>
        <v>C05</v>
      </c>
      <c r="B96" s="36">
        <f t="shared" si="9"/>
        <v>10</v>
      </c>
      <c r="C96" s="185">
        <f t="shared" si="10"/>
        <v>41202</v>
      </c>
      <c r="D96" s="185" t="s">
        <v>491</v>
      </c>
      <c r="E96" s="178">
        <v>41202</v>
      </c>
      <c r="F96" s="186" t="s">
        <v>380</v>
      </c>
      <c r="G96" s="731" t="s">
        <v>430</v>
      </c>
      <c r="H96" s="198" t="s">
        <v>378</v>
      </c>
      <c r="I96" s="247"/>
      <c r="J96" s="247"/>
      <c r="K96" s="37">
        <f>18727+6273</f>
        <v>25000</v>
      </c>
      <c r="L96" s="188" t="s">
        <v>9</v>
      </c>
      <c r="M96" s="188" t="s">
        <v>47</v>
      </c>
      <c r="N96" s="49" t="str">
        <f>IF(AND('331-CT'!$E$7=TH!H96,OR(L96="331",M96="331")),"331",IF(AND(OR(L96="131",M96="131"),H96='131-CT'!$E$7),"131",""))</f>
        <v/>
      </c>
      <c r="O96" s="49" t="str">
        <f>IF(AND($B96&gt;='111'!$N$11,$B96&lt;='111'!$O$11,OR($L96=$O$7,$M96=$O$7)),"x","")</f>
        <v>x</v>
      </c>
      <c r="P96" s="49" t="str">
        <f>IF(AND($L96=$O$7,$B96&lt;'111'!$N$11),"x","")</f>
        <v/>
      </c>
      <c r="Q96" s="49" t="str">
        <f>IF(AND($M96=$O$7,$B96&lt;'111'!$N$11),"x","")</f>
        <v/>
      </c>
      <c r="R96" s="49" t="str">
        <f>IF(ISERROR(FIND('112'!$M$9,G96,1)),"",IF((AND(FIND('112'!$M$9,G96,1)&gt;=1,$B96&gt;='112'!$N$8,$B96&lt;='112'!$O$8,OR($L96='112'!$I$6,$M96='112'!$I$6))),"x",""))</f>
        <v/>
      </c>
      <c r="S96" s="49" t="str">
        <f>IF(ISERROR(FIND('112'!$M$9,G96,1)),"",IF((AND(LEFT(G96,2)=LEFT('112'!$M$9,2),B96&lt;'112'!$N$8,$L96='112'!$I$6)),"x",""))</f>
        <v/>
      </c>
      <c r="T96" s="49" t="str">
        <f>IF(ISERROR(FIND('112'!$M$9,G96,1)),"",IF((AND(RIGHT(G96,2)=RIGHT('112'!$M$9,2),B96&lt;'112'!$N$8,$M96='112'!$I$6)),"x",""))</f>
        <v/>
      </c>
      <c r="U96" s="49" t="str">
        <f>IF(AND(L96="154",'154'!$O$5&lt;=B96,'154'!$P$5&gt;=B96),"154",IF(AND(L96="632",'632'!$L$5&lt;=B96,'632'!$M$5&gt;=B96),"632",IF(AND(L96="642",'642'!$N$5&lt;=B96,'642'!$O$5&gt;=B96),"642",IF(AND(L96="641",'641'!$N$5&lt;=B96,'641'!$O$5&gt;=B96),"641",""))))</f>
        <v/>
      </c>
      <c r="V96" s="49" t="str">
        <f>IF(OR(TH!L96=TH!$V$7,M96=TH!$V$7),"x","")</f>
        <v>x</v>
      </c>
      <c r="W96" s="49" t="str">
        <f>IF(AND(B96&gt;='IN-NX'!$P$3,B96&lt;='IN-NX'!$Q$3,'IN-NX'!$D$7=D96,OR(LEFT(L96,2)="15",AND(LEFT(M96,2)&lt;&gt;"15",LEFT(M96,2)&lt;&gt;"33"))),"x","")</f>
        <v/>
      </c>
      <c r="X96" s="49" t="str">
        <f>IF(AND(OR(LEFT(TH!L96,2)="15",LEFT(TH!M96,2)="15"),'152-CT'!$J$8=TH!F96),"x","")</f>
        <v/>
      </c>
      <c r="Y96" s="49" t="str">
        <f>IF(AND(OR(LEFT(TH!L96,2)="15",LEFT(TH!M96,2)="15"),TK!$E$7=TH!F96),"x","")</f>
        <v/>
      </c>
      <c r="Z96" s="49" t="str">
        <f>IF(AND(B96&lt;=NKC!$N$8,B96&gt;=NKC!$M$8),"x","")</f>
        <v/>
      </c>
      <c r="AA96" s="723">
        <v>10</v>
      </c>
      <c r="AB96" s="497"/>
    </row>
    <row r="97" spans="1:30" s="199" customFormat="1" ht="15.75" hidden="1" customHeight="1">
      <c r="A97" s="724" t="str">
        <f>IF(B97&lt;&gt;"",IF(AND(B97&gt;=_TM1,B97&lt;=_TM2,OR(TH!L97="1111",TH!M97="1111")),TH!D97,""),"")</f>
        <v/>
      </c>
      <c r="B97" s="36">
        <f t="shared" si="9"/>
        <v>10</v>
      </c>
      <c r="C97" s="185">
        <f t="shared" si="10"/>
        <v>41205</v>
      </c>
      <c r="D97" s="178" t="s">
        <v>596</v>
      </c>
      <c r="E97" s="185">
        <v>41205</v>
      </c>
      <c r="F97" s="183" t="s">
        <v>545</v>
      </c>
      <c r="G97" s="732" t="s">
        <v>553</v>
      </c>
      <c r="H97" s="187" t="s">
        <v>481</v>
      </c>
      <c r="I97" s="247">
        <v>993</v>
      </c>
      <c r="J97" s="247">
        <v>5150</v>
      </c>
      <c r="K97" s="505">
        <f>ROUND(I97*J97,0)</f>
        <v>5113950</v>
      </c>
      <c r="L97" s="506" t="s">
        <v>252</v>
      </c>
      <c r="M97" s="506" t="s">
        <v>164</v>
      </c>
      <c r="N97" s="49" t="str">
        <f>IF(AND('331-CT'!$E$7=TH!H97,OR(L97="331",M97="331")),"331",IF(AND(OR(L97="131",M97="131"),H97='131-CT'!$E$7),"131",""))</f>
        <v/>
      </c>
      <c r="O97" s="49" t="str">
        <f>IF(AND($B97&gt;='111'!$N$11,$B97&lt;='111'!$O$11,OR($L97=$O$7,$M97=$O$7)),"x","")</f>
        <v/>
      </c>
      <c r="P97" s="49" t="str">
        <f>IF(AND($L97=$O$7,$B97&lt;'111'!$N$11),"x","")</f>
        <v/>
      </c>
      <c r="Q97" s="49" t="str">
        <f>IF(AND($M97=$O$7,$B97&lt;'111'!$N$11),"x","")</f>
        <v/>
      </c>
      <c r="R97" s="49" t="str">
        <f>IF(ISERROR(FIND('112'!$M$9,G97,1)),"",IF((AND(FIND('112'!$M$9,G97,1)&gt;=1,$B97&gt;='112'!$N$8,$B97&lt;='112'!$O$8,OR($L97='112'!$I$6,$M97='112'!$I$6))),"x",""))</f>
        <v/>
      </c>
      <c r="S97" s="49" t="str">
        <f>IF(ISERROR(FIND('112'!$M$9,G97,1)),"",IF((AND(LEFT(G97,2)=LEFT('112'!$M$9,2),B97&lt;'112'!$N$8,$L97='112'!$I$6)),"x",""))</f>
        <v/>
      </c>
      <c r="T97" s="49" t="str">
        <f>IF(ISERROR(FIND('112'!$M$9,G97,1)),"",IF((AND(RIGHT(G97,2)=RIGHT('112'!$M$9,2),B97&lt;'112'!$N$8,$M97='112'!$I$6)),"x",""))</f>
        <v/>
      </c>
      <c r="U97" s="49" t="str">
        <f>IF(AND(L97="154",'154'!$O$5&lt;=B97,'154'!$P$5&gt;=B97),"154",IF(AND(L97="632",'632'!$L$5&lt;=B97,'632'!$M$5&gt;=B97),"632",IF(AND(L97="642",'642'!$N$5&lt;=B97,'642'!$O$5&gt;=B97),"642",IF(AND(L97="641",'641'!$N$5&lt;=B97,'641'!$O$5&gt;=B97),"641",""))))</f>
        <v/>
      </c>
      <c r="V97" s="49" t="str">
        <f>IF(OR(TH!L97=TH!$V$7,M97=TH!$V$7),"x","")</f>
        <v/>
      </c>
      <c r="W97" s="49" t="str">
        <f>IF(AND(B97&gt;='IN-NX'!$P$3,B97&lt;='IN-NX'!$Q$3,'IN-NX'!$D$7=D97,OR(LEFT(L97,2)="15",AND(LEFT(M97,2)&lt;&gt;"15",LEFT(M97,2)&lt;&gt;"33"))),"x","")</f>
        <v/>
      </c>
      <c r="X97" s="49" t="str">
        <f>IF(AND(OR(LEFT(TH!L97,2)="15",LEFT(TH!M97,2)="15"),'152-CT'!$J$8=TH!F97),"x","")</f>
        <v/>
      </c>
      <c r="Y97" s="49" t="str">
        <f>IF(AND(OR(LEFT(TH!L97,2)="15",LEFT(TH!M97,2)="15"),TK!$E$7=TH!F97),"x","")</f>
        <v/>
      </c>
      <c r="Z97" s="49" t="str">
        <f>IF(AND(B97&lt;=NKC!$N$8,B97&gt;=NKC!$M$8),"x","")</f>
        <v/>
      </c>
      <c r="AA97" s="723"/>
      <c r="AB97" s="497"/>
    </row>
    <row r="98" spans="1:30" s="199" customFormat="1" ht="15.75" hidden="1" customHeight="1">
      <c r="A98" s="724" t="str">
        <f>IF(B98&lt;&gt;"",IF(AND(B98&gt;=_TM1,B98&lt;=_TM2,OR(TH!L98="1111",TH!M98="1111")),TH!D98,""),"")</f>
        <v/>
      </c>
      <c r="B98" s="36">
        <f t="shared" si="9"/>
        <v>10</v>
      </c>
      <c r="C98" s="185">
        <f t="shared" si="10"/>
        <v>41205</v>
      </c>
      <c r="D98" s="178" t="s">
        <v>596</v>
      </c>
      <c r="E98" s="185">
        <v>41205</v>
      </c>
      <c r="F98" s="183" t="s">
        <v>544</v>
      </c>
      <c r="G98" s="732" t="s">
        <v>553</v>
      </c>
      <c r="H98" s="187" t="s">
        <v>481</v>
      </c>
      <c r="I98" s="247">
        <v>1015</v>
      </c>
      <c r="J98" s="247">
        <v>7110</v>
      </c>
      <c r="K98" s="505">
        <f>ROUND(I98*J98,0)</f>
        <v>7216650</v>
      </c>
      <c r="L98" s="506" t="s">
        <v>252</v>
      </c>
      <c r="M98" s="506" t="s">
        <v>164</v>
      </c>
      <c r="N98" s="49" t="str">
        <f>IF(AND('331-CT'!$E$7=TH!H98,OR(L98="331",M98="331")),"331",IF(AND(OR(L98="131",M98="131"),H98='131-CT'!$E$7),"131",""))</f>
        <v/>
      </c>
      <c r="O98" s="49" t="str">
        <f>IF(AND($B98&gt;='111'!$N$11,$B98&lt;='111'!$O$11,OR($L98=$O$7,$M98=$O$7)),"x","")</f>
        <v/>
      </c>
      <c r="P98" s="49" t="str">
        <f>IF(AND($L98=$O$7,$B98&lt;'111'!$N$11),"x","")</f>
        <v/>
      </c>
      <c r="Q98" s="49" t="str">
        <f>IF(AND($M98=$O$7,$B98&lt;'111'!$N$11),"x","")</f>
        <v/>
      </c>
      <c r="R98" s="49" t="str">
        <f>IF(ISERROR(FIND('112'!$M$9,G98,1)),"",IF((AND(FIND('112'!$M$9,G98,1)&gt;=1,$B98&gt;='112'!$N$8,$B98&lt;='112'!$O$8,OR($L98='112'!$I$6,$M98='112'!$I$6))),"x",""))</f>
        <v/>
      </c>
      <c r="S98" s="49" t="str">
        <f>IF(ISERROR(FIND('112'!$M$9,G98,1)),"",IF((AND(LEFT(G98,2)=LEFT('112'!$M$9,2),B98&lt;'112'!$N$8,$L98='112'!$I$6)),"x",""))</f>
        <v/>
      </c>
      <c r="T98" s="49" t="str">
        <f>IF(ISERROR(FIND('112'!$M$9,G98,1)),"",IF((AND(RIGHT(G98,2)=RIGHT('112'!$M$9,2),B98&lt;'112'!$N$8,$M98='112'!$I$6)),"x",""))</f>
        <v/>
      </c>
      <c r="U98" s="49" t="str">
        <f>IF(AND(L98="154",'154'!$O$5&lt;=B98,'154'!$P$5&gt;=B98),"154",IF(AND(L98="632",'632'!$L$5&lt;=B98,'632'!$M$5&gt;=B98),"632",IF(AND(L98="642",'642'!$N$5&lt;=B98,'642'!$O$5&gt;=B98),"642",IF(AND(L98="641",'641'!$N$5&lt;=B98,'641'!$O$5&gt;=B98),"641",""))))</f>
        <v/>
      </c>
      <c r="V98" s="49" t="str">
        <f>IF(OR(TH!L98=TH!$V$7,M98=TH!$V$7),"x","")</f>
        <v/>
      </c>
      <c r="W98" s="49" t="str">
        <f>IF(AND(B98&gt;='IN-NX'!$P$3,B98&lt;='IN-NX'!$Q$3,'IN-NX'!$D$7=D98,OR(LEFT(L98,2)="15",AND(LEFT(M98,2)&lt;&gt;"15",LEFT(M98,2)&lt;&gt;"33"))),"x","")</f>
        <v/>
      </c>
      <c r="X98" s="49" t="str">
        <f>IF(AND(OR(LEFT(TH!L98,2)="15",LEFT(TH!M98,2)="15"),'152-CT'!$J$8=TH!F98),"x","")</f>
        <v/>
      </c>
      <c r="Y98" s="49" t="str">
        <f>IF(AND(OR(LEFT(TH!L98,2)="15",LEFT(TH!M98,2)="15"),TK!$E$7=TH!F98),"x","")</f>
        <v/>
      </c>
      <c r="Z98" s="49" t="str">
        <f>IF(AND(B98&lt;=NKC!$N$8,B98&gt;=NKC!$M$8),"x","")</f>
        <v/>
      </c>
      <c r="AA98" s="723"/>
      <c r="AB98" s="497"/>
    </row>
    <row r="99" spans="1:30" s="199" customFormat="1" ht="15.75" hidden="1" customHeight="1">
      <c r="A99" s="724" t="str">
        <f>IF(B99&lt;&gt;"",IF(AND(B99&gt;=_TM1,B99&lt;=_TM2,OR(TH!L99="1111",TH!M99="1111")),TH!D99,""),"")</f>
        <v/>
      </c>
      <c r="B99" s="36">
        <f t="shared" si="9"/>
        <v>10</v>
      </c>
      <c r="C99" s="185">
        <f t="shared" si="10"/>
        <v>41205</v>
      </c>
      <c r="D99" s="178" t="s">
        <v>596</v>
      </c>
      <c r="E99" s="185">
        <v>41205</v>
      </c>
      <c r="F99" s="183" t="s">
        <v>538</v>
      </c>
      <c r="G99" s="732" t="s">
        <v>553</v>
      </c>
      <c r="H99" s="187" t="s">
        <v>481</v>
      </c>
      <c r="I99" s="247"/>
      <c r="J99" s="247"/>
      <c r="K99" s="505">
        <v>1233060</v>
      </c>
      <c r="L99" s="506" t="s">
        <v>252</v>
      </c>
      <c r="M99" s="506" t="s">
        <v>297</v>
      </c>
      <c r="N99" s="49" t="str">
        <f>IF(AND('331-CT'!$E$7=TH!H99,OR(L99="331",M99="331")),"331",IF(AND(OR(L99="131",M99="131"),H99='131-CT'!$E$7),"131",""))</f>
        <v/>
      </c>
      <c r="O99" s="49" t="str">
        <f>IF(AND($B99&gt;='111'!$N$11,$B99&lt;='111'!$O$11,OR($L99=$O$7,$M99=$O$7)),"x","")</f>
        <v/>
      </c>
      <c r="P99" s="49" t="str">
        <f>IF(AND($L99=$O$7,$B99&lt;'111'!$N$11),"x","")</f>
        <v/>
      </c>
      <c r="Q99" s="49" t="str">
        <f>IF(AND($M99=$O$7,$B99&lt;'111'!$N$11),"x","")</f>
        <v/>
      </c>
      <c r="R99" s="49" t="str">
        <f>IF(ISERROR(FIND('112'!$M$9,G99,1)),"",IF((AND(FIND('112'!$M$9,G99,1)&gt;=1,$B99&gt;='112'!$N$8,$B99&lt;='112'!$O$8,OR($L99='112'!$I$6,$M99='112'!$I$6))),"x",""))</f>
        <v/>
      </c>
      <c r="S99" s="49" t="str">
        <f>IF(ISERROR(FIND('112'!$M$9,G99,1)),"",IF((AND(LEFT(G99,2)=LEFT('112'!$M$9,2),B99&lt;'112'!$N$8,$L99='112'!$I$6)),"x",""))</f>
        <v/>
      </c>
      <c r="T99" s="49" t="str">
        <f>IF(ISERROR(FIND('112'!$M$9,G99,1)),"",IF((AND(RIGHT(G99,2)=RIGHT('112'!$M$9,2),B99&lt;'112'!$N$8,$M99='112'!$I$6)),"x",""))</f>
        <v/>
      </c>
      <c r="U99" s="49" t="str">
        <f>IF(AND(L99="154",'154'!$O$5&lt;=B99,'154'!$P$5&gt;=B99),"154",IF(AND(L99="632",'632'!$L$5&lt;=B99,'632'!$M$5&gt;=B99),"632",IF(AND(L99="642",'642'!$N$5&lt;=B99,'642'!$O$5&gt;=B99),"642",IF(AND(L99="641",'641'!$N$5&lt;=B99,'641'!$O$5&gt;=B99),"641",""))))</f>
        <v/>
      </c>
      <c r="V99" s="49" t="str">
        <f>IF(OR(TH!L99=TH!$V$7,M99=TH!$V$7),"x","")</f>
        <v/>
      </c>
      <c r="W99" s="49" t="str">
        <f>IF(AND(B99&gt;='IN-NX'!$P$3,B99&lt;='IN-NX'!$Q$3,'IN-NX'!$D$7=D99,OR(LEFT(L99,2)="15",AND(LEFT(M99,2)&lt;&gt;"15",LEFT(M99,2)&lt;&gt;"33"))),"x","")</f>
        <v/>
      </c>
      <c r="X99" s="49" t="str">
        <f>IF(AND(OR(LEFT(TH!L99,2)="15",LEFT(TH!M99,2)="15"),'152-CT'!$J$8=TH!F99),"x","")</f>
        <v/>
      </c>
      <c r="Y99" s="49" t="str">
        <f>IF(AND(OR(LEFT(TH!L99,2)="15",LEFT(TH!M99,2)="15"),TK!$E$7=TH!F99),"x","")</f>
        <v/>
      </c>
      <c r="Z99" s="49" t="str">
        <f>IF(AND(B99&lt;=NKC!$N$8,B99&gt;=NKC!$M$8),"x","")</f>
        <v/>
      </c>
      <c r="AA99" s="723"/>
      <c r="AB99" s="497"/>
    </row>
    <row r="100" spans="1:30" s="199" customFormat="1" ht="15.75" hidden="1" customHeight="1">
      <c r="A100" s="724" t="str">
        <f>IF(B100&lt;&gt;"",IF(AND(B100&gt;=_TM1,B100&lt;=_TM2,OR(TH!L100="1111",TH!M100="1111")),TH!D100,""),"")</f>
        <v>T02</v>
      </c>
      <c r="B100" s="36">
        <f t="shared" si="9"/>
        <v>10</v>
      </c>
      <c r="C100" s="185">
        <f t="shared" si="10"/>
        <v>41205</v>
      </c>
      <c r="D100" s="178" t="s">
        <v>292</v>
      </c>
      <c r="E100" s="185">
        <v>41205</v>
      </c>
      <c r="F100" s="186" t="s">
        <v>476</v>
      </c>
      <c r="G100" s="732" t="s">
        <v>553</v>
      </c>
      <c r="H100" s="187" t="s">
        <v>481</v>
      </c>
      <c r="I100" s="247"/>
      <c r="J100" s="247"/>
      <c r="K100" s="505">
        <v>13563660</v>
      </c>
      <c r="L100" s="506" t="s">
        <v>47</v>
      </c>
      <c r="M100" s="506" t="s">
        <v>252</v>
      </c>
      <c r="N100" s="49" t="str">
        <f>IF(AND('331-CT'!$E$7=TH!H100,OR(L100="331",M100="331")),"331",IF(AND(OR(L100="131",M100="131"),H100='131-CT'!$E$7),"131",""))</f>
        <v/>
      </c>
      <c r="O100" s="49" t="str">
        <f>IF(AND($B100&gt;='111'!$N$11,$B100&lt;='111'!$O$11,OR($L100=$O$7,$M100=$O$7)),"x","")</f>
        <v>x</v>
      </c>
      <c r="P100" s="49" t="str">
        <f>IF(AND($L100=$O$7,$B100&lt;'111'!$N$11),"x","")</f>
        <v/>
      </c>
      <c r="Q100" s="49" t="str">
        <f>IF(AND($M100=$O$7,$B100&lt;'111'!$N$11),"x","")</f>
        <v/>
      </c>
      <c r="R100" s="49" t="str">
        <f>IF(ISERROR(FIND('112'!$M$9,G100,1)),"",IF((AND(FIND('112'!$M$9,G100,1)&gt;=1,$B100&gt;='112'!$N$8,$B100&lt;='112'!$O$8,OR($L100='112'!$I$6,$M100='112'!$I$6))),"x",""))</f>
        <v/>
      </c>
      <c r="S100" s="49" t="str">
        <f>IF(ISERROR(FIND('112'!$M$9,G100,1)),"",IF((AND(LEFT(G100,2)=LEFT('112'!$M$9,2),B100&lt;'112'!$N$8,$L100='112'!$I$6)),"x",""))</f>
        <v/>
      </c>
      <c r="T100" s="49" t="str">
        <f>IF(ISERROR(FIND('112'!$M$9,G100,1)),"",IF((AND(RIGHT(G100,2)=RIGHT('112'!$M$9,2),B100&lt;'112'!$N$8,$M100='112'!$I$6)),"x",""))</f>
        <v/>
      </c>
      <c r="U100" s="49" t="str">
        <f>IF(AND(L100="154",'154'!$O$5&lt;=B100,'154'!$P$5&gt;=B100),"154",IF(AND(L100="632",'632'!$L$5&lt;=B100,'632'!$M$5&gt;=B100),"632",IF(AND(L100="642",'642'!$N$5&lt;=B100,'642'!$O$5&gt;=B100),"642",IF(AND(L100="641",'641'!$N$5&lt;=B100,'641'!$O$5&gt;=B100),"641",""))))</f>
        <v/>
      </c>
      <c r="V100" s="49" t="str">
        <f>IF(OR(TH!L100=TH!$V$7,M100=TH!$V$7),"x","")</f>
        <v/>
      </c>
      <c r="W100" s="49" t="str">
        <f>IF(AND(B100&gt;='IN-NX'!$P$3,B100&lt;='IN-NX'!$Q$3,'IN-NX'!$D$7=D100,OR(LEFT(L100,2)="15",AND(LEFT(M100,2)&lt;&gt;"15",LEFT(M100,2)&lt;&gt;"33"))),"x","")</f>
        <v/>
      </c>
      <c r="X100" s="49" t="str">
        <f>IF(AND(OR(LEFT(TH!L100,2)="15",LEFT(TH!M100,2)="15"),'152-CT'!$J$8=TH!F100),"x","")</f>
        <v/>
      </c>
      <c r="Y100" s="49" t="str">
        <f>IF(AND(OR(LEFT(TH!L100,2)="15",LEFT(TH!M100,2)="15"),TK!$E$7=TH!F100),"x","")</f>
        <v/>
      </c>
      <c r="Z100" s="49" t="str">
        <f>IF(AND(B100&lt;=NKC!$N$8,B100&gt;=NKC!$M$8),"x","")</f>
        <v/>
      </c>
      <c r="AA100" s="723"/>
      <c r="AB100" s="497"/>
    </row>
    <row r="101" spans="1:30" s="199" customFormat="1" ht="15.75" hidden="1" customHeight="1">
      <c r="A101" s="724" t="str">
        <f>IF(B101&lt;&gt;"",IF(AND(B101&gt;=_TM1,B101&lt;=_TM2,OR(TH!L101="1111",TH!M101="1111")),TH!D101,""),"")</f>
        <v/>
      </c>
      <c r="B101" s="36">
        <f t="shared" si="9"/>
        <v>10</v>
      </c>
      <c r="C101" s="185">
        <f t="shared" si="10"/>
        <v>41206</v>
      </c>
      <c r="D101" s="178" t="s">
        <v>473</v>
      </c>
      <c r="E101" s="178">
        <v>41206</v>
      </c>
      <c r="F101" s="183" t="s">
        <v>476</v>
      </c>
      <c r="G101" s="731" t="s">
        <v>374</v>
      </c>
      <c r="H101" s="187" t="s">
        <v>482</v>
      </c>
      <c r="I101" s="247"/>
      <c r="J101" s="247"/>
      <c r="K101" s="505">
        <v>8294000</v>
      </c>
      <c r="L101" s="506" t="s">
        <v>24</v>
      </c>
      <c r="M101" s="506" t="s">
        <v>252</v>
      </c>
      <c r="N101" s="49" t="str">
        <f>IF(AND('331-CT'!$E$7=TH!H101,OR(L101="331",M101="331")),"331",IF(AND(OR(L101="131",M101="131"),H101='131-CT'!$E$7),"131",""))</f>
        <v/>
      </c>
      <c r="O101" s="49" t="str">
        <f>IF(AND($B101&gt;='111'!$N$11,$B101&lt;='111'!$O$11,OR($L101=$O$7,$M101=$O$7)),"x","")</f>
        <v/>
      </c>
      <c r="P101" s="49" t="str">
        <f>IF(AND($L101=$O$7,$B101&lt;'111'!$N$11),"x","")</f>
        <v/>
      </c>
      <c r="Q101" s="49" t="str">
        <f>IF(AND($M101=$O$7,$B101&lt;'111'!$N$11),"x","")</f>
        <v/>
      </c>
      <c r="R101" s="49" t="str">
        <f>IF(ISERROR(FIND('112'!$M$9,G101,1)),"",IF((AND(FIND('112'!$M$9,G101,1)&gt;=1,$B101&gt;='112'!$N$8,$B101&lt;='112'!$O$8,OR($L101='112'!$I$6,$M101='112'!$I$6))),"x",""))</f>
        <v>x</v>
      </c>
      <c r="S101" s="49" t="str">
        <f>IF(ISERROR(FIND('112'!$M$9,G101,1)),"",IF((AND(LEFT(G101,2)=LEFT('112'!$M$9,2),B101&lt;'112'!$N$8,$L101='112'!$I$6)),"x",""))</f>
        <v/>
      </c>
      <c r="T101" s="49" t="str">
        <f>IF(ISERROR(FIND('112'!$M$9,G101,1)),"",IF((AND(RIGHT(G101,2)=RIGHT('112'!$M$9,2),B101&lt;'112'!$N$8,$M101='112'!$I$6)),"x",""))</f>
        <v/>
      </c>
      <c r="U101" s="49" t="str">
        <f>IF(AND(L101="154",'154'!$O$5&lt;=B101,'154'!$P$5&gt;=B101),"154",IF(AND(L101="632",'632'!$L$5&lt;=B101,'632'!$M$5&gt;=B101),"632",IF(AND(L101="642",'642'!$N$5&lt;=B101,'642'!$O$5&gt;=B101),"642",IF(AND(L101="641",'641'!$N$5&lt;=B101,'641'!$O$5&gt;=B101),"641",""))))</f>
        <v/>
      </c>
      <c r="V101" s="49" t="str">
        <f>IF(OR(TH!L101=TH!$V$7,M101=TH!$V$7),"x","")</f>
        <v/>
      </c>
      <c r="W101" s="49" t="str">
        <f>IF(AND(B101&gt;='IN-NX'!$P$3,B101&lt;='IN-NX'!$Q$3,'IN-NX'!$D$7=D101,OR(LEFT(L101,2)="15",AND(LEFT(M101,2)&lt;&gt;"15",LEFT(M101,2)&lt;&gt;"33"))),"x","")</f>
        <v/>
      </c>
      <c r="X101" s="49" t="str">
        <f>IF(AND(OR(LEFT(TH!L101,2)="15",LEFT(TH!M101,2)="15"),'152-CT'!$J$8=TH!F101),"x","")</f>
        <v/>
      </c>
      <c r="Y101" s="49" t="str">
        <f>IF(AND(OR(LEFT(TH!L101,2)="15",LEFT(TH!M101,2)="15"),TK!$E$7=TH!F101),"x","")</f>
        <v/>
      </c>
      <c r="Z101" s="49" t="str">
        <f>IF(AND(B101&lt;=NKC!$N$8,B101&gt;=NKC!$M$8),"x","")</f>
        <v/>
      </c>
      <c r="AA101" s="723"/>
      <c r="AB101" s="497"/>
      <c r="AC101" s="497"/>
      <c r="AD101" s="497"/>
    </row>
    <row r="102" spans="1:30" s="199" customFormat="1" ht="15.75" hidden="1" customHeight="1">
      <c r="A102" s="724" t="str">
        <f>IF(B102&lt;&gt;"",IF(AND(B102&gt;=_TM1,B102&lt;=_TM2,OR(TH!L102="1111",TH!M102="1111")),TH!D102,""),"")</f>
        <v/>
      </c>
      <c r="B102" s="36">
        <f t="shared" si="9"/>
        <v>10</v>
      </c>
      <c r="C102" s="185">
        <f t="shared" si="10"/>
        <v>41207</v>
      </c>
      <c r="D102" s="178" t="s">
        <v>485</v>
      </c>
      <c r="E102" s="178">
        <v>41207</v>
      </c>
      <c r="F102" s="183" t="s">
        <v>475</v>
      </c>
      <c r="G102" s="731" t="s">
        <v>374</v>
      </c>
      <c r="H102" s="187"/>
      <c r="I102" s="247"/>
      <c r="J102" s="247"/>
      <c r="K102" s="505">
        <v>11000</v>
      </c>
      <c r="L102" s="506" t="s">
        <v>83</v>
      </c>
      <c r="M102" s="506" t="s">
        <v>24</v>
      </c>
      <c r="N102" s="49" t="str">
        <f>IF(AND('331-CT'!$E$7=TH!H102,OR(L102="331",M102="331")),"331",IF(AND(OR(L102="131",M102="131"),H102='131-CT'!$E$7),"131",""))</f>
        <v/>
      </c>
      <c r="O102" s="49" t="str">
        <f>IF(AND($B102&gt;='111'!$N$11,$B102&lt;='111'!$O$11,OR($L102=$O$7,$M102=$O$7)),"x","")</f>
        <v/>
      </c>
      <c r="P102" s="49" t="str">
        <f>IF(AND($L102=$O$7,$B102&lt;'111'!$N$11),"x","")</f>
        <v/>
      </c>
      <c r="Q102" s="49" t="str">
        <f>IF(AND($M102=$O$7,$B102&lt;'111'!$N$11),"x","")</f>
        <v/>
      </c>
      <c r="R102" s="49" t="str">
        <f>IF(ISERROR(FIND('112'!$M$9,G102,1)),"",IF((AND(FIND('112'!$M$9,G102,1)&gt;=1,$B102&gt;='112'!$N$8,$B102&lt;='112'!$O$8,OR($L102='112'!$I$6,$M102='112'!$I$6))),"x",""))</f>
        <v>x</v>
      </c>
      <c r="S102" s="49" t="str">
        <f>IF(ISERROR(FIND('112'!$M$9,G102,1)),"",IF((AND(LEFT(G102,2)=LEFT('112'!$M$9,2),B102&lt;'112'!$N$8,$L102='112'!$I$6)),"x",""))</f>
        <v/>
      </c>
      <c r="T102" s="49" t="str">
        <f>IF(ISERROR(FIND('112'!$M$9,G102,1)),"",IF((AND(RIGHT(G102,2)=RIGHT('112'!$M$9,2),B102&lt;'112'!$N$8,$M102='112'!$I$6)),"x",""))</f>
        <v/>
      </c>
      <c r="U102" s="49" t="str">
        <f>IF(AND(L102="154",'154'!$O$5&lt;=B102,'154'!$P$5&gt;=B102),"154",IF(AND(L102="632",'632'!$L$5&lt;=B102,'632'!$M$5&gt;=B102),"632",IF(AND(L102="642",'642'!$N$5&lt;=B102,'642'!$O$5&gt;=B102),"642",IF(AND(L102="641",'641'!$N$5&lt;=B102,'641'!$O$5&gt;=B102),"641",""))))</f>
        <v/>
      </c>
      <c r="V102" s="49" t="str">
        <f>IF(OR(TH!L102=TH!$V$7,M102=TH!$V$7),"x","")</f>
        <v/>
      </c>
      <c r="W102" s="49" t="str">
        <f>IF(AND(B102&gt;='IN-NX'!$P$3,B102&lt;='IN-NX'!$Q$3,'IN-NX'!$D$7=D102,OR(LEFT(L102,2)="15",AND(LEFT(M102,2)&lt;&gt;"15",LEFT(M102,2)&lt;&gt;"33"))),"x","")</f>
        <v/>
      </c>
      <c r="X102" s="49" t="str">
        <f>IF(AND(OR(LEFT(TH!L102,2)="15",LEFT(TH!M102,2)="15"),'152-CT'!$J$8=TH!F102),"x","")</f>
        <v/>
      </c>
      <c r="Y102" s="49" t="str">
        <f>IF(AND(OR(LEFT(TH!L102,2)="15",LEFT(TH!M102,2)="15"),TK!$E$7=TH!F102),"x","")</f>
        <v/>
      </c>
      <c r="Z102" s="49" t="str">
        <f>IF(AND(B102&lt;=NKC!$N$8,B102&gt;=NKC!$M$8),"x","")</f>
        <v/>
      </c>
      <c r="AA102" s="723"/>
      <c r="AB102" s="497"/>
    </row>
    <row r="103" spans="1:30" s="199" customFormat="1" ht="15.75" hidden="1" customHeight="1">
      <c r="A103" s="724" t="str">
        <f>IF(B103&lt;&gt;"",IF(AND(B103&gt;=_TM1,B103&lt;=_TM2,OR(TH!L103="1111",TH!M103="1111")),TH!D103,""),"")</f>
        <v/>
      </c>
      <c r="B103" s="36">
        <f t="shared" si="9"/>
        <v>10</v>
      </c>
      <c r="C103" s="185">
        <f t="shared" si="10"/>
        <v>41207</v>
      </c>
      <c r="D103" s="178" t="s">
        <v>473</v>
      </c>
      <c r="E103" s="178">
        <v>41207</v>
      </c>
      <c r="F103" s="183" t="s">
        <v>480</v>
      </c>
      <c r="G103" s="731" t="s">
        <v>374</v>
      </c>
      <c r="H103" s="187"/>
      <c r="I103" s="247"/>
      <c r="J103" s="247"/>
      <c r="K103" s="505">
        <v>22296</v>
      </c>
      <c r="L103" s="506" t="s">
        <v>24</v>
      </c>
      <c r="M103" s="506" t="s">
        <v>40</v>
      </c>
      <c r="N103" s="49" t="str">
        <f>IF(AND('331-CT'!$E$7=TH!H103,OR(L103="331",M103="331")),"331",IF(AND(OR(L103="131",M103="131"),H103='131-CT'!$E$7),"131",""))</f>
        <v/>
      </c>
      <c r="O103" s="49" t="str">
        <f>IF(AND($B103&gt;='111'!$N$11,$B103&lt;='111'!$O$11,OR($L103=$O$7,$M103=$O$7)),"x","")</f>
        <v/>
      </c>
      <c r="P103" s="49" t="str">
        <f>IF(AND($L103=$O$7,$B103&lt;'111'!$N$11),"x","")</f>
        <v/>
      </c>
      <c r="Q103" s="49" t="str">
        <f>IF(AND($M103=$O$7,$B103&lt;'111'!$N$11),"x","")</f>
        <v/>
      </c>
      <c r="R103" s="49" t="str">
        <f>IF(ISERROR(FIND('112'!$M$9,G103,1)),"",IF((AND(FIND('112'!$M$9,G103,1)&gt;=1,$B103&gt;='112'!$N$8,$B103&lt;='112'!$O$8,OR($L103='112'!$I$6,$M103='112'!$I$6))),"x",""))</f>
        <v>x</v>
      </c>
      <c r="S103" s="49" t="str">
        <f>IF(ISERROR(FIND('112'!$M$9,G103,1)),"",IF((AND(LEFT(G103,2)=LEFT('112'!$M$9,2),B103&lt;'112'!$N$8,$L103='112'!$I$6)),"x",""))</f>
        <v/>
      </c>
      <c r="T103" s="49" t="str">
        <f>IF(ISERROR(FIND('112'!$M$9,G103,1)),"",IF((AND(RIGHT(G103,2)=RIGHT('112'!$M$9,2),B103&lt;'112'!$N$8,$M103='112'!$I$6)),"x",""))</f>
        <v/>
      </c>
      <c r="U103" s="49" t="str">
        <f>IF(AND(L103="154",'154'!$O$5&lt;=B103,'154'!$P$5&gt;=B103),"154",IF(AND(L103="632",'632'!$L$5&lt;=B103,'632'!$M$5&gt;=B103),"632",IF(AND(L103="642",'642'!$N$5&lt;=B103,'642'!$O$5&gt;=B103),"642",IF(AND(L103="641",'641'!$N$5&lt;=B103,'641'!$O$5&gt;=B103),"641",""))))</f>
        <v/>
      </c>
      <c r="V103" s="49" t="str">
        <f>IF(OR(TH!L103=TH!$V$7,M103=TH!$V$7),"x","")</f>
        <v/>
      </c>
      <c r="W103" s="49" t="str">
        <f>IF(AND(B103&gt;='IN-NX'!$P$3,B103&lt;='IN-NX'!$Q$3,'IN-NX'!$D$7=D103,OR(LEFT(L103,2)="15",AND(LEFT(M103,2)&lt;&gt;"15",LEFT(M103,2)&lt;&gt;"33"))),"x","")</f>
        <v/>
      </c>
      <c r="X103" s="49" t="str">
        <f>IF(AND(OR(LEFT(TH!L103,2)="15",LEFT(TH!M103,2)="15"),'152-CT'!$J$8=TH!F103),"x","")</f>
        <v/>
      </c>
      <c r="Y103" s="49" t="str">
        <f>IF(AND(OR(LEFT(TH!L103,2)="15",LEFT(TH!M103,2)="15"),TK!$E$7=TH!F103),"x","")</f>
        <v/>
      </c>
      <c r="Z103" s="49" t="str">
        <f>IF(AND(B103&lt;=NKC!$N$8,B103&gt;=NKC!$M$8),"x","")</f>
        <v/>
      </c>
      <c r="AA103" s="723"/>
      <c r="AB103" s="497"/>
    </row>
    <row r="104" spans="1:30" s="199" customFormat="1" ht="15.75" hidden="1" customHeight="1">
      <c r="A104" s="724" t="str">
        <f>IF(B104&lt;&gt;"",IF(AND(B104&gt;=_TM1,B104&lt;=_TM2,OR(TH!L104="1111",TH!M104="1111")),TH!D104,""),"")</f>
        <v/>
      </c>
      <c r="B104" s="36">
        <f t="shared" si="9"/>
        <v>10</v>
      </c>
      <c r="C104" s="185">
        <f t="shared" si="10"/>
        <v>41207</v>
      </c>
      <c r="D104" s="185" t="s">
        <v>501</v>
      </c>
      <c r="E104" s="178">
        <v>41207</v>
      </c>
      <c r="F104" s="183" t="s">
        <v>422</v>
      </c>
      <c r="G104" s="731" t="s">
        <v>421</v>
      </c>
      <c r="H104" s="7" t="s">
        <v>390</v>
      </c>
      <c r="I104" s="247">
        <v>500</v>
      </c>
      <c r="J104" s="247">
        <v>10286</v>
      </c>
      <c r="K104" s="37">
        <f>ROUND(I104*J104,0)</f>
        <v>5143000</v>
      </c>
      <c r="L104" s="188" t="s">
        <v>375</v>
      </c>
      <c r="M104" s="188" t="s">
        <v>8</v>
      </c>
      <c r="N104" s="49" t="str">
        <f>IF(AND('331-CT'!$E$7=TH!H104,OR(L104="331",M104="331")),"331",IF(AND(OR(L104="131",M104="131"),H104='131-CT'!$E$7),"131",""))</f>
        <v>331</v>
      </c>
      <c r="O104" s="49" t="str">
        <f>IF(AND($B104&gt;='111'!$N$11,$B104&lt;='111'!$O$11,OR($L104=$O$7,$M104=$O$7)),"x","")</f>
        <v/>
      </c>
      <c r="P104" s="49" t="str">
        <f>IF(AND($L104=$O$7,$B104&lt;'111'!$N$11),"x","")</f>
        <v/>
      </c>
      <c r="Q104" s="49" t="str">
        <f>IF(AND($M104=$O$7,$B104&lt;'111'!$N$11),"x","")</f>
        <v/>
      </c>
      <c r="R104" s="49" t="str">
        <f>IF(ISERROR(FIND('112'!$M$9,G104,1)),"",IF((AND(FIND('112'!$M$9,G104,1)&gt;=1,$B104&gt;='112'!$N$8,$B104&lt;='112'!$O$8,OR($L104='112'!$I$6,$M104='112'!$I$6))),"x",""))</f>
        <v/>
      </c>
      <c r="S104" s="49" t="str">
        <f>IF(ISERROR(FIND('112'!$M$9,G104,1)),"",IF((AND(LEFT(G104,2)=LEFT('112'!$M$9,2),B104&lt;'112'!$N$8,$L104='112'!$I$6)),"x",""))</f>
        <v/>
      </c>
      <c r="T104" s="49" t="str">
        <f>IF(ISERROR(FIND('112'!$M$9,G104,1)),"",IF((AND(RIGHT(G104,2)=RIGHT('112'!$M$9,2),B104&lt;'112'!$N$8,$M104='112'!$I$6)),"x",""))</f>
        <v/>
      </c>
      <c r="U104" s="49" t="str">
        <f>IF(AND(L104="154",'154'!$O$5&lt;=B104,'154'!$P$5&gt;=B104),"154",IF(AND(L104="632",'632'!$L$5&lt;=B104,'632'!$M$5&gt;=B104),"632",IF(AND(L104="642",'642'!$N$5&lt;=B104,'642'!$O$5&gt;=B104),"642",IF(AND(L104="641",'641'!$N$5&lt;=B104,'641'!$O$5&gt;=B104),"641",""))))</f>
        <v/>
      </c>
      <c r="V104" s="49" t="str">
        <f>IF(OR(TH!L104=TH!$V$7,M104=TH!$V$7),"x","")</f>
        <v/>
      </c>
      <c r="W104" s="49" t="str">
        <f>IF(AND(B104&gt;='IN-NX'!$P$3,B104&lt;='IN-NX'!$Q$3,'IN-NX'!$D$7=D104,OR(LEFT(L104,2)="15",AND(LEFT(M104,2)&lt;&gt;"15",LEFT(M104,2)&lt;&gt;"33"))),"x","")</f>
        <v/>
      </c>
      <c r="X104" s="49" t="str">
        <f>IF(AND(OR(LEFT(TH!L104,2)="15",LEFT(TH!M104,2)="15"),'152-CT'!$J$8=TH!F104),"x","")</f>
        <v/>
      </c>
      <c r="Y104" s="49" t="str">
        <f>IF(AND(OR(LEFT(TH!L104,2)="15",LEFT(TH!M104,2)="15"),TK!$E$7=TH!F104),"x","")</f>
        <v/>
      </c>
      <c r="Z104" s="49" t="str">
        <f>IF(AND(B104&lt;=NKC!$N$8,B104&gt;=NKC!$M$8),"x","")</f>
        <v/>
      </c>
      <c r="AA104" s="723"/>
      <c r="AB104" s="497"/>
    </row>
    <row r="105" spans="1:30" s="199" customFormat="1" ht="15.75" hidden="1" customHeight="1">
      <c r="A105" s="724" t="str">
        <f>IF(B105&lt;&gt;"",IF(AND(B105&gt;=_TM1,B105&lt;=_TM2,OR(TH!L105="1111",TH!M105="1111")),TH!D105,""),"")</f>
        <v/>
      </c>
      <c r="B105" s="36">
        <f t="shared" si="9"/>
        <v>10</v>
      </c>
      <c r="C105" s="185">
        <f t="shared" si="10"/>
        <v>41207</v>
      </c>
      <c r="D105" s="185" t="s">
        <v>501</v>
      </c>
      <c r="E105" s="178">
        <v>41207</v>
      </c>
      <c r="F105" s="183" t="s">
        <v>423</v>
      </c>
      <c r="G105" s="731" t="s">
        <v>421</v>
      </c>
      <c r="H105" s="7" t="s">
        <v>390</v>
      </c>
      <c r="I105" s="247">
        <v>500</v>
      </c>
      <c r="J105" s="247">
        <v>13020</v>
      </c>
      <c r="K105" s="37">
        <f>ROUND(I105*J105,0)</f>
        <v>6510000</v>
      </c>
      <c r="L105" s="188" t="s">
        <v>375</v>
      </c>
      <c r="M105" s="188" t="s">
        <v>8</v>
      </c>
      <c r="N105" s="49" t="str">
        <f>IF(AND('331-CT'!$E$7=TH!H105,OR(L105="331",M105="331")),"331",IF(AND(OR(L105="131",M105="131"),H105='131-CT'!$E$7),"131",""))</f>
        <v>331</v>
      </c>
      <c r="O105" s="49" t="str">
        <f>IF(AND($B105&gt;='111'!$N$11,$B105&lt;='111'!$O$11,OR($L105=$O$7,$M105=$O$7)),"x","")</f>
        <v/>
      </c>
      <c r="P105" s="49" t="str">
        <f>IF(AND($L105=$O$7,$B105&lt;'111'!$N$11),"x","")</f>
        <v/>
      </c>
      <c r="Q105" s="49" t="str">
        <f>IF(AND($M105=$O$7,$B105&lt;'111'!$N$11),"x","")</f>
        <v/>
      </c>
      <c r="R105" s="49" t="str">
        <f>IF(ISERROR(FIND('112'!$M$9,G105,1)),"",IF((AND(FIND('112'!$M$9,G105,1)&gt;=1,$B105&gt;='112'!$N$8,$B105&lt;='112'!$O$8,OR($L105='112'!$I$6,$M105='112'!$I$6))),"x",""))</f>
        <v/>
      </c>
      <c r="S105" s="49" t="str">
        <f>IF(ISERROR(FIND('112'!$M$9,G105,1)),"",IF((AND(LEFT(G105,2)=LEFT('112'!$M$9,2),B105&lt;'112'!$N$8,$L105='112'!$I$6)),"x",""))</f>
        <v/>
      </c>
      <c r="T105" s="49" t="str">
        <f>IF(ISERROR(FIND('112'!$M$9,G105,1)),"",IF((AND(RIGHT(G105,2)=RIGHT('112'!$M$9,2),B105&lt;'112'!$N$8,$M105='112'!$I$6)),"x",""))</f>
        <v/>
      </c>
      <c r="U105" s="49" t="str">
        <f>IF(AND(L105="154",'154'!$O$5&lt;=B105,'154'!$P$5&gt;=B105),"154",IF(AND(L105="632",'632'!$L$5&lt;=B105,'632'!$M$5&gt;=B105),"632",IF(AND(L105="642",'642'!$N$5&lt;=B105,'642'!$O$5&gt;=B105),"642",IF(AND(L105="641",'641'!$N$5&lt;=B105,'641'!$O$5&gt;=B105),"641",""))))</f>
        <v/>
      </c>
      <c r="V105" s="49" t="str">
        <f>IF(OR(TH!L105=TH!$V$7,M105=TH!$V$7),"x","")</f>
        <v/>
      </c>
      <c r="W105" s="49" t="str">
        <f>IF(AND(B105&gt;='IN-NX'!$P$3,B105&lt;='IN-NX'!$Q$3,'IN-NX'!$D$7=D105,OR(LEFT(L105,2)="15",AND(LEFT(M105,2)&lt;&gt;"15",LEFT(M105,2)&lt;&gt;"33"))),"x","")</f>
        <v/>
      </c>
      <c r="X105" s="49" t="str">
        <f>IF(AND(OR(LEFT(TH!L105,2)="15",LEFT(TH!M105,2)="15"),'152-CT'!$J$8=TH!F105),"x","")</f>
        <v/>
      </c>
      <c r="Y105" s="49" t="str">
        <f>IF(AND(OR(LEFT(TH!L105,2)="15",LEFT(TH!M105,2)="15"),TK!$E$7=TH!F105),"x","")</f>
        <v/>
      </c>
      <c r="Z105" s="49" t="str">
        <f>IF(AND(B105&lt;=NKC!$N$8,B105&gt;=NKC!$M$8),"x","")</f>
        <v/>
      </c>
      <c r="AA105" s="723"/>
      <c r="AB105" s="497"/>
    </row>
    <row r="106" spans="1:30" s="199" customFormat="1" ht="15.75" customHeight="1">
      <c r="A106" s="724" t="str">
        <f>IF(B106&lt;&gt;"",IF(AND(B106&gt;=_TM1,B106&lt;=_TM2,OR(TH!L106="1111",TH!M106="1111")),TH!D106,""),"")</f>
        <v/>
      </c>
      <c r="B106" s="36">
        <f t="shared" si="9"/>
        <v>10</v>
      </c>
      <c r="C106" s="185">
        <f t="shared" si="10"/>
        <v>41207</v>
      </c>
      <c r="D106" s="185" t="s">
        <v>501</v>
      </c>
      <c r="E106" s="178">
        <v>41207</v>
      </c>
      <c r="F106" s="183" t="s">
        <v>392</v>
      </c>
      <c r="G106" s="731" t="s">
        <v>421</v>
      </c>
      <c r="H106" s="7" t="s">
        <v>390</v>
      </c>
      <c r="I106" s="247"/>
      <c r="J106" s="247"/>
      <c r="K106" s="37">
        <v>1165300</v>
      </c>
      <c r="L106" s="188" t="s">
        <v>9</v>
      </c>
      <c r="M106" s="188" t="s">
        <v>8</v>
      </c>
      <c r="N106" s="49" t="str">
        <f>IF(AND('331-CT'!$E$7=TH!H106,OR(L106="331",M106="331")),"331",IF(AND(OR(L106="131",M106="131"),H106='131-CT'!$E$7),"131",""))</f>
        <v>331</v>
      </c>
      <c r="O106" s="49" t="str">
        <f>IF(AND($B106&gt;='111'!$N$11,$B106&lt;='111'!$O$11,OR($L106=$O$7,$M106=$O$7)),"x","")</f>
        <v/>
      </c>
      <c r="P106" s="49" t="str">
        <f>IF(AND($L106=$O$7,$B106&lt;'111'!$N$11),"x","")</f>
        <v/>
      </c>
      <c r="Q106" s="49" t="str">
        <f>IF(AND($M106=$O$7,$B106&lt;'111'!$N$11),"x","")</f>
        <v/>
      </c>
      <c r="R106" s="49" t="str">
        <f>IF(ISERROR(FIND('112'!$M$9,G106,1)),"",IF((AND(FIND('112'!$M$9,G106,1)&gt;=1,$B106&gt;='112'!$N$8,$B106&lt;='112'!$O$8,OR($L106='112'!$I$6,$M106='112'!$I$6))),"x",""))</f>
        <v/>
      </c>
      <c r="S106" s="49" t="str">
        <f>IF(ISERROR(FIND('112'!$M$9,G106,1)),"",IF((AND(LEFT(G106,2)=LEFT('112'!$M$9,2),B106&lt;'112'!$N$8,$L106='112'!$I$6)),"x",""))</f>
        <v/>
      </c>
      <c r="T106" s="49" t="str">
        <f>IF(ISERROR(FIND('112'!$M$9,G106,1)),"",IF((AND(RIGHT(G106,2)=RIGHT('112'!$M$9,2),B106&lt;'112'!$N$8,$M106='112'!$I$6)),"x",""))</f>
        <v/>
      </c>
      <c r="U106" s="49" t="str">
        <f>IF(AND(L106="154",'154'!$O$5&lt;=B106,'154'!$P$5&gt;=B106),"154",IF(AND(L106="632",'632'!$L$5&lt;=B106,'632'!$M$5&gt;=B106),"632",IF(AND(L106="642",'642'!$N$5&lt;=B106,'642'!$O$5&gt;=B106),"642",IF(AND(L106="641",'641'!$N$5&lt;=B106,'641'!$O$5&gt;=B106),"641",""))))</f>
        <v/>
      </c>
      <c r="V106" s="49" t="str">
        <f>IF(OR(TH!L106=TH!$V$7,M106=TH!$V$7),"x","")</f>
        <v>x</v>
      </c>
      <c r="W106" s="49" t="str">
        <f>IF(AND(B106&gt;='IN-NX'!$P$3,B106&lt;='IN-NX'!$Q$3,'IN-NX'!$D$7=D106,OR(LEFT(L106,2)="15",AND(LEFT(M106,2)&lt;&gt;"15",LEFT(M106,2)&lt;&gt;"33"))),"x","")</f>
        <v/>
      </c>
      <c r="X106" s="49" t="str">
        <f>IF(AND(OR(LEFT(TH!L106,2)="15",LEFT(TH!M106,2)="15"),'152-CT'!$J$8=TH!F106),"x","")</f>
        <v/>
      </c>
      <c r="Y106" s="49" t="str">
        <f>IF(AND(OR(LEFT(TH!L106,2)="15",LEFT(TH!M106,2)="15"),TK!$E$7=TH!F106),"x","")</f>
        <v/>
      </c>
      <c r="Z106" s="49" t="str">
        <f>IF(AND(B106&lt;=NKC!$N$8,B106&gt;=NKC!$M$8),"x","")</f>
        <v/>
      </c>
      <c r="AA106" s="723">
        <v>10</v>
      </c>
      <c r="AB106" s="497"/>
    </row>
    <row r="107" spans="1:30" s="199" customFormat="1" ht="15.75" hidden="1" customHeight="1">
      <c r="A107" s="724" t="str">
        <f>IF(B107&lt;&gt;"",IF(AND(B107&gt;=_TM1,B107&lt;=_TM2,OR(TH!L107="1111",TH!M107="1111")),TH!D107,""),"")</f>
        <v>C06</v>
      </c>
      <c r="B107" s="36">
        <f t="shared" si="9"/>
        <v>10</v>
      </c>
      <c r="C107" s="185">
        <f t="shared" si="10"/>
        <v>41207</v>
      </c>
      <c r="D107" s="185" t="s">
        <v>492</v>
      </c>
      <c r="E107" s="178">
        <v>41207</v>
      </c>
      <c r="F107" s="183" t="s">
        <v>486</v>
      </c>
      <c r="G107" s="731" t="s">
        <v>421</v>
      </c>
      <c r="H107" s="7" t="s">
        <v>390</v>
      </c>
      <c r="I107" s="247"/>
      <c r="J107" s="247"/>
      <c r="K107" s="37">
        <v>12818300</v>
      </c>
      <c r="L107" s="188" t="s">
        <v>8</v>
      </c>
      <c r="M107" s="188" t="s">
        <v>47</v>
      </c>
      <c r="N107" s="49" t="str">
        <f>IF(AND('331-CT'!$E$7=TH!H107,OR(L107="331",M107="331")),"331",IF(AND(OR(L107="131",M107="131"),H107='131-CT'!$E$7),"131",""))</f>
        <v>331</v>
      </c>
      <c r="O107" s="49" t="str">
        <f>IF(AND($B107&gt;='111'!$N$11,$B107&lt;='111'!$O$11,OR($L107=$O$7,$M107=$O$7)),"x","")</f>
        <v>x</v>
      </c>
      <c r="P107" s="49" t="str">
        <f>IF(AND($L107=$O$7,$B107&lt;'111'!$N$11),"x","")</f>
        <v/>
      </c>
      <c r="Q107" s="49" t="str">
        <f>IF(AND($M107=$O$7,$B107&lt;'111'!$N$11),"x","")</f>
        <v/>
      </c>
      <c r="R107" s="49" t="str">
        <f>IF(ISERROR(FIND('112'!$M$9,G107,1)),"",IF((AND(FIND('112'!$M$9,G107,1)&gt;=1,$B107&gt;='112'!$N$8,$B107&lt;='112'!$O$8,OR($L107='112'!$I$6,$M107='112'!$I$6))),"x",""))</f>
        <v/>
      </c>
      <c r="S107" s="49" t="str">
        <f>IF(ISERROR(FIND('112'!$M$9,G107,1)),"",IF((AND(LEFT(G107,2)=LEFT('112'!$M$9,2),B107&lt;'112'!$N$8,$L107='112'!$I$6)),"x",""))</f>
        <v/>
      </c>
      <c r="T107" s="49" t="str">
        <f>IF(ISERROR(FIND('112'!$M$9,G107,1)),"",IF((AND(RIGHT(G107,2)=RIGHT('112'!$M$9,2),B107&lt;'112'!$N$8,$M107='112'!$I$6)),"x",""))</f>
        <v/>
      </c>
      <c r="U107" s="49" t="str">
        <f>IF(AND(L107="154",'154'!$O$5&lt;=B107,'154'!$P$5&gt;=B107),"154",IF(AND(L107="632",'632'!$L$5&lt;=B107,'632'!$M$5&gt;=B107),"632",IF(AND(L107="642",'642'!$N$5&lt;=B107,'642'!$O$5&gt;=B107),"642",IF(AND(L107="641",'641'!$N$5&lt;=B107,'641'!$O$5&gt;=B107),"641",""))))</f>
        <v/>
      </c>
      <c r="V107" s="49" t="str">
        <f>IF(OR(TH!L107=TH!$V$7,M107=TH!$V$7),"x","")</f>
        <v/>
      </c>
      <c r="W107" s="49" t="str">
        <f>IF(AND(B107&gt;='IN-NX'!$P$3,B107&lt;='IN-NX'!$Q$3,'IN-NX'!$D$7=D107,OR(LEFT(L107,2)="15",AND(LEFT(M107,2)&lt;&gt;"15",LEFT(M107,2)&lt;&gt;"33"))),"x","")</f>
        <v/>
      </c>
      <c r="X107" s="49" t="str">
        <f>IF(AND(OR(LEFT(TH!L107,2)="15",LEFT(TH!M107,2)="15"),'152-CT'!$J$8=TH!F107),"x","")</f>
        <v/>
      </c>
      <c r="Y107" s="49" t="str">
        <f>IF(AND(OR(LEFT(TH!L107,2)="15",LEFT(TH!M107,2)="15"),TK!$E$7=TH!F107),"x","")</f>
        <v/>
      </c>
      <c r="Z107" s="49" t="str">
        <f>IF(AND(B107&lt;=NKC!$N$8,B107&gt;=NKC!$M$8),"x","")</f>
        <v/>
      </c>
      <c r="AA107" s="723"/>
      <c r="AB107" s="497"/>
    </row>
    <row r="108" spans="1:30" s="199" customFormat="1" ht="15.75" hidden="1" customHeight="1">
      <c r="A108" s="724" t="str">
        <f>IF(B108&lt;&gt;"",IF(AND(B108&gt;=_TM1,B108&lt;=_TM2,OR(TH!L108="1111",TH!M108="1111")),TH!D108,""),"")</f>
        <v/>
      </c>
      <c r="B108" s="36">
        <f t="shared" si="9"/>
        <v>10</v>
      </c>
      <c r="C108" s="185">
        <f t="shared" si="10"/>
        <v>41207</v>
      </c>
      <c r="D108" s="178" t="s">
        <v>597</v>
      </c>
      <c r="E108" s="185">
        <v>41207</v>
      </c>
      <c r="F108" s="183" t="s">
        <v>547</v>
      </c>
      <c r="G108" s="732" t="s">
        <v>554</v>
      </c>
      <c r="H108" s="187" t="s">
        <v>481</v>
      </c>
      <c r="I108" s="247">
        <v>1010</v>
      </c>
      <c r="J108" s="247">
        <v>6200</v>
      </c>
      <c r="K108" s="505">
        <f>ROUND(I108*J108,0)</f>
        <v>6262000</v>
      </c>
      <c r="L108" s="506" t="s">
        <v>252</v>
      </c>
      <c r="M108" s="506" t="s">
        <v>164</v>
      </c>
      <c r="N108" s="49" t="str">
        <f>IF(AND('331-CT'!$E$7=TH!H108,OR(L108="331",M108="331")),"331",IF(AND(OR(L108="131",M108="131"),H108='131-CT'!$E$7),"131",""))</f>
        <v/>
      </c>
      <c r="O108" s="49" t="str">
        <f>IF(AND($B108&gt;='111'!$N$11,$B108&lt;='111'!$O$11,OR($L108=$O$7,$M108=$O$7)),"x","")</f>
        <v/>
      </c>
      <c r="P108" s="49" t="str">
        <f>IF(AND($L108=$O$7,$B108&lt;'111'!$N$11),"x","")</f>
        <v/>
      </c>
      <c r="Q108" s="49" t="str">
        <f>IF(AND($M108=$O$7,$B108&lt;'111'!$N$11),"x","")</f>
        <v/>
      </c>
      <c r="R108" s="49" t="str">
        <f>IF(ISERROR(FIND('112'!$M$9,G108,1)),"",IF((AND(FIND('112'!$M$9,G108,1)&gt;=1,$B108&gt;='112'!$N$8,$B108&lt;='112'!$O$8,OR($L108='112'!$I$6,$M108='112'!$I$6))),"x",""))</f>
        <v/>
      </c>
      <c r="S108" s="49" t="str">
        <f>IF(ISERROR(FIND('112'!$M$9,G108,1)),"",IF((AND(LEFT(G108,2)=LEFT('112'!$M$9,2),B108&lt;'112'!$N$8,$L108='112'!$I$6)),"x",""))</f>
        <v/>
      </c>
      <c r="T108" s="49" t="str">
        <f>IF(ISERROR(FIND('112'!$M$9,G108,1)),"",IF((AND(RIGHT(G108,2)=RIGHT('112'!$M$9,2),B108&lt;'112'!$N$8,$M108='112'!$I$6)),"x",""))</f>
        <v/>
      </c>
      <c r="U108" s="49" t="str">
        <f>IF(AND(L108="154",'154'!$O$5&lt;=B108,'154'!$P$5&gt;=B108),"154",IF(AND(L108="632",'632'!$L$5&lt;=B108,'632'!$M$5&gt;=B108),"632",IF(AND(L108="642",'642'!$N$5&lt;=B108,'642'!$O$5&gt;=B108),"642",IF(AND(L108="641",'641'!$N$5&lt;=B108,'641'!$O$5&gt;=B108),"641",""))))</f>
        <v/>
      </c>
      <c r="V108" s="49" t="str">
        <f>IF(OR(TH!L108=TH!$V$7,M108=TH!$V$7),"x","")</f>
        <v/>
      </c>
      <c r="W108" s="49" t="str">
        <f>IF(AND(B108&gt;='IN-NX'!$P$3,B108&lt;='IN-NX'!$Q$3,'IN-NX'!$D$7=D108,OR(LEFT(L108,2)="15",AND(LEFT(M108,2)&lt;&gt;"15",LEFT(M108,2)&lt;&gt;"33"))),"x","")</f>
        <v/>
      </c>
      <c r="X108" s="49" t="str">
        <f>IF(AND(OR(LEFT(TH!L108,2)="15",LEFT(TH!M108,2)="15"),'152-CT'!$J$8=TH!F108),"x","")</f>
        <v/>
      </c>
      <c r="Y108" s="49" t="str">
        <f>IF(AND(OR(LEFT(TH!L108,2)="15",LEFT(TH!M108,2)="15"),TK!$E$7=TH!F108),"x","")</f>
        <v/>
      </c>
      <c r="Z108" s="49" t="str">
        <f>IF(AND(B108&lt;=NKC!$N$8,B108&gt;=NKC!$M$8),"x","")</f>
        <v/>
      </c>
      <c r="AA108" s="723"/>
    </row>
    <row r="109" spans="1:30" s="199" customFormat="1" ht="15.75" hidden="1" customHeight="1">
      <c r="A109" s="724" t="str">
        <f>IF(B109&lt;&gt;"",IF(AND(B109&gt;=_TM1,B109&lt;=_TM2,OR(TH!L109="1111",TH!M109="1111")),TH!D109,""),"")</f>
        <v/>
      </c>
      <c r="B109" s="36">
        <f t="shared" si="9"/>
        <v>10</v>
      </c>
      <c r="C109" s="185">
        <f t="shared" si="10"/>
        <v>41207</v>
      </c>
      <c r="D109" s="178" t="s">
        <v>597</v>
      </c>
      <c r="E109" s="185">
        <v>41207</v>
      </c>
      <c r="F109" s="186" t="s">
        <v>538</v>
      </c>
      <c r="G109" s="732" t="s">
        <v>554</v>
      </c>
      <c r="H109" s="187" t="s">
        <v>481</v>
      </c>
      <c r="I109" s="247"/>
      <c r="J109" s="247"/>
      <c r="K109" s="505">
        <v>626200</v>
      </c>
      <c r="L109" s="506" t="s">
        <v>252</v>
      </c>
      <c r="M109" s="506" t="s">
        <v>297</v>
      </c>
      <c r="N109" s="49" t="str">
        <f>IF(AND('331-CT'!$E$7=TH!H109,OR(L109="331",M109="331")),"331",IF(AND(OR(L109="131",M109="131"),H109='131-CT'!$E$7),"131",""))</f>
        <v/>
      </c>
      <c r="O109" s="49" t="str">
        <f>IF(AND($B109&gt;='111'!$N$11,$B109&lt;='111'!$O$11,OR($L109=$O$7,$M109=$O$7)),"x","")</f>
        <v/>
      </c>
      <c r="P109" s="49" t="str">
        <f>IF(AND($L109=$O$7,$B109&lt;'111'!$N$11),"x","")</f>
        <v/>
      </c>
      <c r="Q109" s="49" t="str">
        <f>IF(AND($M109=$O$7,$B109&lt;'111'!$N$11),"x","")</f>
        <v/>
      </c>
      <c r="R109" s="49" t="str">
        <f>IF(ISERROR(FIND('112'!$M$9,G109,1)),"",IF((AND(FIND('112'!$M$9,G109,1)&gt;=1,$B109&gt;='112'!$N$8,$B109&lt;='112'!$O$8,OR($L109='112'!$I$6,$M109='112'!$I$6))),"x",""))</f>
        <v/>
      </c>
      <c r="S109" s="49" t="str">
        <f>IF(ISERROR(FIND('112'!$M$9,G109,1)),"",IF((AND(LEFT(G109,2)=LEFT('112'!$M$9,2),B109&lt;'112'!$N$8,$L109='112'!$I$6)),"x",""))</f>
        <v/>
      </c>
      <c r="T109" s="49" t="str">
        <f>IF(ISERROR(FIND('112'!$M$9,G109,1)),"",IF((AND(RIGHT(G109,2)=RIGHT('112'!$M$9,2),B109&lt;'112'!$N$8,$M109='112'!$I$6)),"x",""))</f>
        <v/>
      </c>
      <c r="U109" s="49" t="str">
        <f>IF(AND(L109="154",'154'!$O$5&lt;=B109,'154'!$P$5&gt;=B109),"154",IF(AND(L109="632",'632'!$L$5&lt;=B109,'632'!$M$5&gt;=B109),"632",IF(AND(L109="642",'642'!$N$5&lt;=B109,'642'!$O$5&gt;=B109),"642",IF(AND(L109="641",'641'!$N$5&lt;=B109,'641'!$O$5&gt;=B109),"641",""))))</f>
        <v/>
      </c>
      <c r="V109" s="49" t="str">
        <f>IF(OR(TH!L109=TH!$V$7,M109=TH!$V$7),"x","")</f>
        <v/>
      </c>
      <c r="W109" s="49" t="str">
        <f>IF(AND(B109&gt;='IN-NX'!$P$3,B109&lt;='IN-NX'!$Q$3,'IN-NX'!$D$7=D109,OR(LEFT(L109,2)="15",AND(LEFT(M109,2)&lt;&gt;"15",LEFT(M109,2)&lt;&gt;"33"))),"x","")</f>
        <v/>
      </c>
      <c r="X109" s="49" t="str">
        <f>IF(AND(OR(LEFT(TH!L109,2)="15",LEFT(TH!M109,2)="15"),'152-CT'!$J$8=TH!F109),"x","")</f>
        <v/>
      </c>
      <c r="Y109" s="49" t="str">
        <f>IF(AND(OR(LEFT(TH!L109,2)="15",LEFT(TH!M109,2)="15"),TK!$E$7=TH!F109),"x","")</f>
        <v/>
      </c>
      <c r="Z109" s="49" t="str">
        <f>IF(AND(B109&lt;=NKC!$N$8,B109&gt;=NKC!$M$8),"x","")</f>
        <v/>
      </c>
      <c r="AA109" s="723"/>
      <c r="AB109" s="497"/>
    </row>
    <row r="110" spans="1:30" s="199" customFormat="1" ht="15.75" hidden="1" customHeight="1">
      <c r="A110" s="724" t="str">
        <f>IF(B110&lt;&gt;"",IF(AND(B110&gt;=_TM1,B110&lt;=_TM2,OR(TH!L110="1111",TH!M110="1111")),TH!D110,""),"")</f>
        <v>T03</v>
      </c>
      <c r="B110" s="36">
        <f t="shared" si="9"/>
        <v>10</v>
      </c>
      <c r="C110" s="185">
        <f t="shared" si="10"/>
        <v>41207</v>
      </c>
      <c r="D110" s="178" t="s">
        <v>293</v>
      </c>
      <c r="E110" s="185">
        <v>41207</v>
      </c>
      <c r="F110" s="186" t="s">
        <v>476</v>
      </c>
      <c r="G110" s="732" t="s">
        <v>554</v>
      </c>
      <c r="H110" s="187" t="s">
        <v>481</v>
      </c>
      <c r="I110" s="247"/>
      <c r="J110" s="247"/>
      <c r="K110" s="505">
        <v>6888200</v>
      </c>
      <c r="L110" s="506" t="s">
        <v>47</v>
      </c>
      <c r="M110" s="506" t="s">
        <v>252</v>
      </c>
      <c r="N110" s="49" t="str">
        <f>IF(AND('331-CT'!$E$7=TH!H110,OR(L110="331",M110="331")),"331",IF(AND(OR(L110="131",M110="131"),H110='131-CT'!$E$7),"131",""))</f>
        <v/>
      </c>
      <c r="O110" s="49" t="str">
        <f>IF(AND($B110&gt;='111'!$N$11,$B110&lt;='111'!$O$11,OR($L110=$O$7,$M110=$O$7)),"x","")</f>
        <v>x</v>
      </c>
      <c r="P110" s="49" t="str">
        <f>IF(AND($L110=$O$7,$B110&lt;'111'!$N$11),"x","")</f>
        <v/>
      </c>
      <c r="Q110" s="49" t="str">
        <f>IF(AND($M110=$O$7,$B110&lt;'111'!$N$11),"x","")</f>
        <v/>
      </c>
      <c r="R110" s="49" t="str">
        <f>IF(ISERROR(FIND('112'!$M$9,G110,1)),"",IF((AND(FIND('112'!$M$9,G110,1)&gt;=1,$B110&gt;='112'!$N$8,$B110&lt;='112'!$O$8,OR($L110='112'!$I$6,$M110='112'!$I$6))),"x",""))</f>
        <v/>
      </c>
      <c r="S110" s="49" t="str">
        <f>IF(ISERROR(FIND('112'!$M$9,G110,1)),"",IF((AND(LEFT(G110,2)=LEFT('112'!$M$9,2),B110&lt;'112'!$N$8,$L110='112'!$I$6)),"x",""))</f>
        <v/>
      </c>
      <c r="T110" s="49" t="str">
        <f>IF(ISERROR(FIND('112'!$M$9,G110,1)),"",IF((AND(RIGHT(G110,2)=RIGHT('112'!$M$9,2),B110&lt;'112'!$N$8,$M110='112'!$I$6)),"x",""))</f>
        <v/>
      </c>
      <c r="U110" s="49" t="str">
        <f>IF(AND(L110="154",'154'!$O$5&lt;=B110,'154'!$P$5&gt;=B110),"154",IF(AND(L110="632",'632'!$L$5&lt;=B110,'632'!$M$5&gt;=B110),"632",IF(AND(L110="642",'642'!$N$5&lt;=B110,'642'!$O$5&gt;=B110),"642",IF(AND(L110="641",'641'!$N$5&lt;=B110,'641'!$O$5&gt;=B110),"641",""))))</f>
        <v/>
      </c>
      <c r="V110" s="49" t="str">
        <f>IF(OR(TH!L110=TH!$V$7,M110=TH!$V$7),"x","")</f>
        <v/>
      </c>
      <c r="W110" s="49" t="str">
        <f>IF(AND(B110&gt;='IN-NX'!$P$3,B110&lt;='IN-NX'!$Q$3,'IN-NX'!$D$7=D110,OR(LEFT(L110,2)="15",AND(LEFT(M110,2)&lt;&gt;"15",LEFT(M110,2)&lt;&gt;"33"))),"x","")</f>
        <v/>
      </c>
      <c r="X110" s="49" t="str">
        <f>IF(AND(OR(LEFT(TH!L110,2)="15",LEFT(TH!M110,2)="15"),'152-CT'!$J$8=TH!F110),"x","")</f>
        <v/>
      </c>
      <c r="Y110" s="49" t="str">
        <f>IF(AND(OR(LEFT(TH!L110,2)="15",LEFT(TH!M110,2)="15"),TK!$E$7=TH!F110),"x","")</f>
        <v/>
      </c>
      <c r="Z110" s="49" t="str">
        <f>IF(AND(B110&lt;=NKC!$N$8,B110&gt;=NKC!$M$8),"x","")</f>
        <v/>
      </c>
      <c r="AA110" s="723"/>
      <c r="AB110" s="497"/>
    </row>
    <row r="111" spans="1:30" s="199" customFormat="1" ht="15.75" hidden="1" customHeight="1">
      <c r="A111" s="724" t="str">
        <f>IF(B111&lt;&gt;"",IF(AND(B111&gt;=_TM1,B111&lt;=_TM2,OR(TH!L111="1111",TH!M111="1111")),TH!D111,""),"")</f>
        <v/>
      </c>
      <c r="B111" s="36">
        <f t="shared" si="9"/>
        <v>10</v>
      </c>
      <c r="C111" s="185">
        <f t="shared" si="10"/>
        <v>41208</v>
      </c>
      <c r="D111" s="185" t="s">
        <v>502</v>
      </c>
      <c r="E111" s="178">
        <v>41208</v>
      </c>
      <c r="F111" s="183" t="s">
        <v>425</v>
      </c>
      <c r="G111" s="731" t="s">
        <v>424</v>
      </c>
      <c r="H111" s="7" t="s">
        <v>390</v>
      </c>
      <c r="I111" s="247">
        <v>505</v>
      </c>
      <c r="J111" s="247">
        <v>12124</v>
      </c>
      <c r="K111" s="37">
        <f>ROUND(I111*J111,0)</f>
        <v>6122620</v>
      </c>
      <c r="L111" s="188" t="s">
        <v>375</v>
      </c>
      <c r="M111" s="188" t="s">
        <v>8</v>
      </c>
      <c r="N111" s="49" t="str">
        <f>IF(AND('331-CT'!$E$7=TH!H111,OR(L111="331",M111="331")),"331",IF(AND(OR(L111="131",M111="131"),H111='131-CT'!$E$7),"131",""))</f>
        <v>331</v>
      </c>
      <c r="O111" s="49" t="str">
        <f>IF(AND($B111&gt;='111'!$N$11,$B111&lt;='111'!$O$11,OR($L111=$O$7,$M111=$O$7)),"x","")</f>
        <v/>
      </c>
      <c r="P111" s="49" t="str">
        <f>IF(AND($L111=$O$7,$B111&lt;'111'!$N$11),"x","")</f>
        <v/>
      </c>
      <c r="Q111" s="49" t="str">
        <f>IF(AND($M111=$O$7,$B111&lt;'111'!$N$11),"x","")</f>
        <v/>
      </c>
      <c r="R111" s="49" t="str">
        <f>IF(ISERROR(FIND('112'!$M$9,G111,1)),"",IF((AND(FIND('112'!$M$9,G111,1)&gt;=1,$B111&gt;='112'!$N$8,$B111&lt;='112'!$O$8,OR($L111='112'!$I$6,$M111='112'!$I$6))),"x",""))</f>
        <v/>
      </c>
      <c r="S111" s="49" t="str">
        <f>IF(ISERROR(FIND('112'!$M$9,G111,1)),"",IF((AND(LEFT(G111,2)=LEFT('112'!$M$9,2),B111&lt;'112'!$N$8,$L111='112'!$I$6)),"x",""))</f>
        <v/>
      </c>
      <c r="T111" s="49" t="str">
        <f>IF(ISERROR(FIND('112'!$M$9,G111,1)),"",IF((AND(RIGHT(G111,2)=RIGHT('112'!$M$9,2),B111&lt;'112'!$N$8,$M111='112'!$I$6)),"x",""))</f>
        <v/>
      </c>
      <c r="U111" s="49" t="str">
        <f>IF(AND(L111="154",'154'!$O$5&lt;=B111,'154'!$P$5&gt;=B111),"154",IF(AND(L111="632",'632'!$L$5&lt;=B111,'632'!$M$5&gt;=B111),"632",IF(AND(L111="642",'642'!$N$5&lt;=B111,'642'!$O$5&gt;=B111),"642",IF(AND(L111="641",'641'!$N$5&lt;=B111,'641'!$O$5&gt;=B111),"641",""))))</f>
        <v/>
      </c>
      <c r="V111" s="49" t="str">
        <f>IF(OR(TH!L111=TH!$V$7,M111=TH!$V$7),"x","")</f>
        <v/>
      </c>
      <c r="W111" s="49" t="str">
        <f>IF(AND(B111&gt;='IN-NX'!$P$3,B111&lt;='IN-NX'!$Q$3,'IN-NX'!$D$7=D111,OR(LEFT(L111,2)="15",AND(LEFT(M111,2)&lt;&gt;"15",LEFT(M111,2)&lt;&gt;"33"))),"x","")</f>
        <v/>
      </c>
      <c r="X111" s="49" t="str">
        <f>IF(AND(OR(LEFT(TH!L111,2)="15",LEFT(TH!M111,2)="15"),'152-CT'!$J$8=TH!F111),"x","")</f>
        <v/>
      </c>
      <c r="Y111" s="49" t="str">
        <f>IF(AND(OR(LEFT(TH!L111,2)="15",LEFT(TH!M111,2)="15"),TK!$E$7=TH!F111),"x","")</f>
        <v/>
      </c>
      <c r="Z111" s="49" t="str">
        <f>IF(AND(B111&lt;=NKC!$N$8,B111&gt;=NKC!$M$8),"x","")</f>
        <v/>
      </c>
      <c r="AA111" s="723"/>
      <c r="AB111" s="497"/>
    </row>
    <row r="112" spans="1:30" s="199" customFormat="1" ht="15.75" customHeight="1">
      <c r="A112" s="724" t="str">
        <f>IF(B112&lt;&gt;"",IF(AND(B112&gt;=_TM1,B112&lt;=_TM2,OR(TH!L112="1111",TH!M112="1111")),TH!D112,""),"")</f>
        <v/>
      </c>
      <c r="B112" s="36">
        <f t="shared" si="9"/>
        <v>10</v>
      </c>
      <c r="C112" s="185">
        <f t="shared" si="10"/>
        <v>41208</v>
      </c>
      <c r="D112" s="185" t="s">
        <v>502</v>
      </c>
      <c r="E112" s="178">
        <v>41208</v>
      </c>
      <c r="F112" s="183" t="s">
        <v>392</v>
      </c>
      <c r="G112" s="731" t="s">
        <v>424</v>
      </c>
      <c r="H112" s="7" t="s">
        <v>390</v>
      </c>
      <c r="I112" s="247"/>
      <c r="J112" s="247"/>
      <c r="K112" s="37">
        <v>612262</v>
      </c>
      <c r="L112" s="188" t="s">
        <v>9</v>
      </c>
      <c r="M112" s="188" t="s">
        <v>8</v>
      </c>
      <c r="N112" s="49" t="str">
        <f>IF(AND('331-CT'!$E$7=TH!H112,OR(L112="331",M112="331")),"331",IF(AND(OR(L112="131",M112="131"),H112='131-CT'!$E$7),"131",""))</f>
        <v>331</v>
      </c>
      <c r="O112" s="49" t="str">
        <f>IF(AND($B112&gt;='111'!$N$11,$B112&lt;='111'!$O$11,OR($L112=$O$7,$M112=$O$7)),"x","")</f>
        <v/>
      </c>
      <c r="P112" s="49" t="str">
        <f>IF(AND($L112=$O$7,$B112&lt;'111'!$N$11),"x","")</f>
        <v/>
      </c>
      <c r="Q112" s="49" t="str">
        <f>IF(AND($M112=$O$7,$B112&lt;'111'!$N$11),"x","")</f>
        <v/>
      </c>
      <c r="R112" s="49" t="str">
        <f>IF(ISERROR(FIND('112'!$M$9,G112,1)),"",IF((AND(FIND('112'!$M$9,G112,1)&gt;=1,$B112&gt;='112'!$N$8,$B112&lt;='112'!$O$8,OR($L112='112'!$I$6,$M112='112'!$I$6))),"x",""))</f>
        <v/>
      </c>
      <c r="S112" s="49" t="str">
        <f>IF(ISERROR(FIND('112'!$M$9,G112,1)),"",IF((AND(LEFT(G112,2)=LEFT('112'!$M$9,2),B112&lt;'112'!$N$8,$L112='112'!$I$6)),"x",""))</f>
        <v/>
      </c>
      <c r="T112" s="49" t="str">
        <f>IF(ISERROR(FIND('112'!$M$9,G112,1)),"",IF((AND(RIGHT(G112,2)=RIGHT('112'!$M$9,2),B112&lt;'112'!$N$8,$M112='112'!$I$6)),"x",""))</f>
        <v/>
      </c>
      <c r="U112" s="49" t="str">
        <f>IF(AND(L112="154",'154'!$O$5&lt;=B112,'154'!$P$5&gt;=B112),"154",IF(AND(L112="632",'632'!$L$5&lt;=B112,'632'!$M$5&gt;=B112),"632",IF(AND(L112="642",'642'!$N$5&lt;=B112,'642'!$O$5&gt;=B112),"642",IF(AND(L112="641",'641'!$N$5&lt;=B112,'641'!$O$5&gt;=B112),"641",""))))</f>
        <v/>
      </c>
      <c r="V112" s="49" t="str">
        <f>IF(OR(TH!L112=TH!$V$7,M112=TH!$V$7),"x","")</f>
        <v>x</v>
      </c>
      <c r="W112" s="49" t="str">
        <f>IF(AND(B112&gt;='IN-NX'!$P$3,B112&lt;='IN-NX'!$Q$3,'IN-NX'!$D$7=D112,OR(LEFT(L112,2)="15",AND(LEFT(M112,2)&lt;&gt;"15",LEFT(M112,2)&lt;&gt;"33"))),"x","")</f>
        <v/>
      </c>
      <c r="X112" s="49" t="str">
        <f>IF(AND(OR(LEFT(TH!L112,2)="15",LEFT(TH!M112,2)="15"),'152-CT'!$J$8=TH!F112),"x","")</f>
        <v/>
      </c>
      <c r="Y112" s="49" t="str">
        <f>IF(AND(OR(LEFT(TH!L112,2)="15",LEFT(TH!M112,2)="15"),TK!$E$7=TH!F112),"x","")</f>
        <v/>
      </c>
      <c r="Z112" s="49" t="str">
        <f>IF(AND(B112&lt;=NKC!$N$8,B112&gt;=NKC!$M$8),"x","")</f>
        <v/>
      </c>
      <c r="AA112" s="723">
        <v>10</v>
      </c>
      <c r="AB112" s="497"/>
    </row>
    <row r="113" spans="1:30" s="199" customFormat="1" ht="15.75" hidden="1" customHeight="1">
      <c r="A113" s="724" t="str">
        <f>IF(B113&lt;&gt;"",IF(AND(B113&gt;=_TM1,B113&lt;=_TM2,OR(TH!L113="1111",TH!M113="1111")),TH!D113,""),"")</f>
        <v>C07</v>
      </c>
      <c r="B113" s="36">
        <f t="shared" si="9"/>
        <v>10</v>
      </c>
      <c r="C113" s="185">
        <f t="shared" si="10"/>
        <v>41208</v>
      </c>
      <c r="D113" s="185" t="s">
        <v>493</v>
      </c>
      <c r="E113" s="178">
        <v>41208</v>
      </c>
      <c r="F113" s="183" t="s">
        <v>486</v>
      </c>
      <c r="G113" s="731" t="s">
        <v>424</v>
      </c>
      <c r="H113" s="7" t="s">
        <v>390</v>
      </c>
      <c r="I113" s="247"/>
      <c r="J113" s="247"/>
      <c r="K113" s="37">
        <v>6734882</v>
      </c>
      <c r="L113" s="188" t="s">
        <v>8</v>
      </c>
      <c r="M113" s="188" t="s">
        <v>47</v>
      </c>
      <c r="N113" s="49" t="str">
        <f>IF(AND('331-CT'!$E$7=TH!H113,OR(L113="331",M113="331")),"331",IF(AND(OR(L113="131",M113="131"),H113='131-CT'!$E$7),"131",""))</f>
        <v>331</v>
      </c>
      <c r="O113" s="49" t="str">
        <f>IF(AND($B113&gt;='111'!$N$11,$B113&lt;='111'!$O$11,OR($L113=$O$7,$M113=$O$7)),"x","")</f>
        <v>x</v>
      </c>
      <c r="P113" s="49" t="str">
        <f>IF(AND($L113=$O$7,$B113&lt;'111'!$N$11),"x","")</f>
        <v/>
      </c>
      <c r="Q113" s="49" t="str">
        <f>IF(AND($M113=$O$7,$B113&lt;'111'!$N$11),"x","")</f>
        <v/>
      </c>
      <c r="R113" s="49" t="str">
        <f>IF(ISERROR(FIND('112'!$M$9,G113,1)),"",IF((AND(FIND('112'!$M$9,G113,1)&gt;=1,$B113&gt;='112'!$N$8,$B113&lt;='112'!$O$8,OR($L113='112'!$I$6,$M113='112'!$I$6))),"x",""))</f>
        <v/>
      </c>
      <c r="S113" s="49" t="str">
        <f>IF(ISERROR(FIND('112'!$M$9,G113,1)),"",IF((AND(LEFT(G113,2)=LEFT('112'!$M$9,2),B113&lt;'112'!$N$8,$L113='112'!$I$6)),"x",""))</f>
        <v/>
      </c>
      <c r="T113" s="49" t="str">
        <f>IF(ISERROR(FIND('112'!$M$9,G113,1)),"",IF((AND(RIGHT(G113,2)=RIGHT('112'!$M$9,2),B113&lt;'112'!$N$8,$M113='112'!$I$6)),"x",""))</f>
        <v/>
      </c>
      <c r="U113" s="49" t="str">
        <f>IF(AND(L113="154",'154'!$O$5&lt;=B113,'154'!$P$5&gt;=B113),"154",IF(AND(L113="632",'632'!$L$5&lt;=B113,'632'!$M$5&gt;=B113),"632",IF(AND(L113="642",'642'!$N$5&lt;=B113,'642'!$O$5&gt;=B113),"642",IF(AND(L113="641",'641'!$N$5&lt;=B113,'641'!$O$5&gt;=B113),"641",""))))</f>
        <v/>
      </c>
      <c r="V113" s="49" t="str">
        <f>IF(OR(TH!L113=TH!$V$7,M113=TH!$V$7),"x","")</f>
        <v/>
      </c>
      <c r="W113" s="49" t="str">
        <f>IF(AND(B113&gt;='IN-NX'!$P$3,B113&lt;='IN-NX'!$Q$3,'IN-NX'!$D$7=D113,OR(LEFT(L113,2)="15",AND(LEFT(M113,2)&lt;&gt;"15",LEFT(M113,2)&lt;&gt;"33"))),"x","")</f>
        <v/>
      </c>
      <c r="X113" s="49" t="str">
        <f>IF(AND(OR(LEFT(TH!L113,2)="15",LEFT(TH!M113,2)="15"),'152-CT'!$J$8=TH!F113),"x","")</f>
        <v/>
      </c>
      <c r="Y113" s="49" t="str">
        <f>IF(AND(OR(LEFT(TH!L113,2)="15",LEFT(TH!M113,2)="15"),TK!$E$7=TH!F113),"x","")</f>
        <v/>
      </c>
      <c r="Z113" s="49" t="str">
        <f>IF(AND(B113&lt;=NKC!$N$8,B113&gt;=NKC!$M$8),"x","")</f>
        <v/>
      </c>
      <c r="AA113" s="723"/>
      <c r="AB113" s="497"/>
    </row>
    <row r="114" spans="1:30" s="199" customFormat="1" ht="15.75" hidden="1" customHeight="1">
      <c r="A114" s="724" t="str">
        <f>IF(B114&lt;&gt;"",IF(AND(B114&gt;=_TM1,B114&lt;=_TM2,OR(TH!L114="1111",TH!M114="1111")),TH!D114,""),"")</f>
        <v/>
      </c>
      <c r="B114" s="36">
        <f t="shared" si="9"/>
        <v>10</v>
      </c>
      <c r="C114" s="185">
        <f t="shared" si="10"/>
        <v>41209</v>
      </c>
      <c r="D114" s="185" t="s">
        <v>503</v>
      </c>
      <c r="E114" s="178">
        <v>41209</v>
      </c>
      <c r="F114" s="183" t="s">
        <v>415</v>
      </c>
      <c r="G114" s="731" t="s">
        <v>414</v>
      </c>
      <c r="H114" s="7" t="s">
        <v>413</v>
      </c>
      <c r="I114" s="247">
        <v>1000</v>
      </c>
      <c r="J114" s="247">
        <v>12319</v>
      </c>
      <c r="K114" s="37">
        <f>ROUND(I114*J114,0)</f>
        <v>12319000</v>
      </c>
      <c r="L114" s="188" t="s">
        <v>375</v>
      </c>
      <c r="M114" s="188" t="s">
        <v>8</v>
      </c>
      <c r="N114" s="49" t="str">
        <f>IF(AND('331-CT'!$E$7=TH!H114,OR(L114="331",M114="331")),"331",IF(AND(OR(L114="131",M114="131"),H114='131-CT'!$E$7),"131",""))</f>
        <v/>
      </c>
      <c r="O114" s="49" t="str">
        <f>IF(AND($B114&gt;='111'!$N$11,$B114&lt;='111'!$O$11,OR($L114=$O$7,$M114=$O$7)),"x","")</f>
        <v/>
      </c>
      <c r="P114" s="49" t="str">
        <f>IF(AND($L114=$O$7,$B114&lt;'111'!$N$11),"x","")</f>
        <v/>
      </c>
      <c r="Q114" s="49" t="str">
        <f>IF(AND($M114=$O$7,$B114&lt;'111'!$N$11),"x","")</f>
        <v/>
      </c>
      <c r="R114" s="49" t="str">
        <f>IF(ISERROR(FIND('112'!$M$9,G114,1)),"",IF((AND(FIND('112'!$M$9,G114,1)&gt;=1,$B114&gt;='112'!$N$8,$B114&lt;='112'!$O$8,OR($L114='112'!$I$6,$M114='112'!$I$6))),"x",""))</f>
        <v/>
      </c>
      <c r="S114" s="49" t="str">
        <f>IF(ISERROR(FIND('112'!$M$9,G114,1)),"",IF((AND(LEFT(G114,2)=LEFT('112'!$M$9,2),B114&lt;'112'!$N$8,$L114='112'!$I$6)),"x",""))</f>
        <v/>
      </c>
      <c r="T114" s="49" t="str">
        <f>IF(ISERROR(FIND('112'!$M$9,G114,1)),"",IF((AND(RIGHT(G114,2)=RIGHT('112'!$M$9,2),B114&lt;'112'!$N$8,$M114='112'!$I$6)),"x",""))</f>
        <v/>
      </c>
      <c r="U114" s="49" t="str">
        <f>IF(AND(L114="154",'154'!$O$5&lt;=B114,'154'!$P$5&gt;=B114),"154",IF(AND(L114="632",'632'!$L$5&lt;=B114,'632'!$M$5&gt;=B114),"632",IF(AND(L114="642",'642'!$N$5&lt;=B114,'642'!$O$5&gt;=B114),"642",IF(AND(L114="641",'641'!$N$5&lt;=B114,'641'!$O$5&gt;=B114),"641",""))))</f>
        <v/>
      </c>
      <c r="V114" s="49" t="str">
        <f>IF(OR(TH!L114=TH!$V$7,M114=TH!$V$7),"x","")</f>
        <v/>
      </c>
      <c r="W114" s="49" t="str">
        <f>IF(AND(B114&gt;='IN-NX'!$P$3,B114&lt;='IN-NX'!$Q$3,'IN-NX'!$D$7=D114,OR(LEFT(L114,2)="15",AND(LEFT(M114,2)&lt;&gt;"15",LEFT(M114,2)&lt;&gt;"33"))),"x","")</f>
        <v/>
      </c>
      <c r="X114" s="49" t="str">
        <f>IF(AND(OR(LEFT(TH!L114,2)="15",LEFT(TH!M114,2)="15"),'152-CT'!$J$8=TH!F114),"x","")</f>
        <v/>
      </c>
      <c r="Y114" s="49" t="str">
        <f>IF(AND(OR(LEFT(TH!L114,2)="15",LEFT(TH!M114,2)="15"),TK!$E$7=TH!F114),"x","")</f>
        <v>x</v>
      </c>
      <c r="Z114" s="49" t="str">
        <f>IF(AND(B114&lt;=NKC!$N$8,B114&gt;=NKC!$M$8),"x","")</f>
        <v/>
      </c>
      <c r="AA114" s="723"/>
      <c r="AB114" s="497"/>
    </row>
    <row r="115" spans="1:30" s="199" customFormat="1" ht="15.75" customHeight="1">
      <c r="A115" s="724" t="str">
        <f>IF(B115&lt;&gt;"",IF(AND(B115&gt;=_TM1,B115&lt;=_TM2,OR(TH!L115="1111",TH!M115="1111")),TH!D115,""),"")</f>
        <v/>
      </c>
      <c r="B115" s="36">
        <f t="shared" si="9"/>
        <v>10</v>
      </c>
      <c r="C115" s="185">
        <f t="shared" si="10"/>
        <v>41209</v>
      </c>
      <c r="D115" s="185" t="s">
        <v>503</v>
      </c>
      <c r="E115" s="178">
        <v>41209</v>
      </c>
      <c r="F115" s="183" t="s">
        <v>373</v>
      </c>
      <c r="G115" s="731" t="s">
        <v>414</v>
      </c>
      <c r="H115" s="7" t="s">
        <v>413</v>
      </c>
      <c r="I115" s="247"/>
      <c r="J115" s="247"/>
      <c r="K115" s="37">
        <v>1231900</v>
      </c>
      <c r="L115" s="188" t="s">
        <v>9</v>
      </c>
      <c r="M115" s="188" t="s">
        <v>8</v>
      </c>
      <c r="N115" s="49" t="str">
        <f>IF(AND('331-CT'!$E$7=TH!H115,OR(L115="331",M115="331")),"331",IF(AND(OR(L115="131",M115="131"),H115='131-CT'!$E$7),"131",""))</f>
        <v/>
      </c>
      <c r="O115" s="49" t="str">
        <f>IF(AND($B115&gt;='111'!$N$11,$B115&lt;='111'!$O$11,OR($L115=$O$7,$M115=$O$7)),"x","")</f>
        <v/>
      </c>
      <c r="P115" s="49" t="str">
        <f>IF(AND($L115=$O$7,$B115&lt;'111'!$N$11),"x","")</f>
        <v/>
      </c>
      <c r="Q115" s="49" t="str">
        <f>IF(AND($M115=$O$7,$B115&lt;'111'!$N$11),"x","")</f>
        <v/>
      </c>
      <c r="R115" s="49" t="str">
        <f>IF(ISERROR(FIND('112'!$M$9,G115,1)),"",IF((AND(FIND('112'!$M$9,G115,1)&gt;=1,$B115&gt;='112'!$N$8,$B115&lt;='112'!$O$8,OR($L115='112'!$I$6,$M115='112'!$I$6))),"x",""))</f>
        <v/>
      </c>
      <c r="S115" s="49" t="str">
        <f>IF(ISERROR(FIND('112'!$M$9,G115,1)),"",IF((AND(LEFT(G115,2)=LEFT('112'!$M$9,2),B115&lt;'112'!$N$8,$L115='112'!$I$6)),"x",""))</f>
        <v/>
      </c>
      <c r="T115" s="49" t="str">
        <f>IF(ISERROR(FIND('112'!$M$9,G115,1)),"",IF((AND(RIGHT(G115,2)=RIGHT('112'!$M$9,2),B115&lt;'112'!$N$8,$M115='112'!$I$6)),"x",""))</f>
        <v/>
      </c>
      <c r="U115" s="49" t="str">
        <f>IF(AND(L115="154",'154'!$O$5&lt;=B115,'154'!$P$5&gt;=B115),"154",IF(AND(L115="632",'632'!$L$5&lt;=B115,'632'!$M$5&gt;=B115),"632",IF(AND(L115="642",'642'!$N$5&lt;=B115,'642'!$O$5&gt;=B115),"642",IF(AND(L115="641",'641'!$N$5&lt;=B115,'641'!$O$5&gt;=B115),"641",""))))</f>
        <v/>
      </c>
      <c r="V115" s="49" t="str">
        <f>IF(OR(TH!L115=TH!$V$7,M115=TH!$V$7),"x","")</f>
        <v>x</v>
      </c>
      <c r="W115" s="49" t="str">
        <f>IF(AND(B115&gt;='IN-NX'!$P$3,B115&lt;='IN-NX'!$Q$3,'IN-NX'!$D$7=D115,OR(LEFT(L115,2)="15",AND(LEFT(M115,2)&lt;&gt;"15",LEFT(M115,2)&lt;&gt;"33"))),"x","")</f>
        <v/>
      </c>
      <c r="X115" s="49" t="str">
        <f>IF(AND(OR(LEFT(TH!L115,2)="15",LEFT(TH!M115,2)="15"),'152-CT'!$J$8=TH!F115),"x","")</f>
        <v/>
      </c>
      <c r="Y115" s="49" t="str">
        <f>IF(AND(OR(LEFT(TH!L115,2)="15",LEFT(TH!M115,2)="15"),TK!$E$7=TH!F115),"x","")</f>
        <v/>
      </c>
      <c r="Z115" s="49" t="str">
        <f>IF(AND(B115&lt;=NKC!$N$8,B115&gt;=NKC!$M$8),"x","")</f>
        <v/>
      </c>
      <c r="AA115" s="723">
        <v>10</v>
      </c>
      <c r="AB115" s="497"/>
    </row>
    <row r="116" spans="1:30" s="199" customFormat="1" ht="15.75" hidden="1" customHeight="1">
      <c r="A116" s="724" t="str">
        <f>IF(B116&lt;&gt;"",IF(AND(B116&gt;=_TM1,B116&lt;=_TM2,OR(TH!L116="1111",TH!M116="1111")),TH!D116,""),"")</f>
        <v>C08</v>
      </c>
      <c r="B116" s="36">
        <f t="shared" si="9"/>
        <v>10</v>
      </c>
      <c r="C116" s="185">
        <f t="shared" si="10"/>
        <v>41209</v>
      </c>
      <c r="D116" s="185" t="s">
        <v>494</v>
      </c>
      <c r="E116" s="178">
        <v>41209</v>
      </c>
      <c r="F116" s="183" t="s">
        <v>486</v>
      </c>
      <c r="G116" s="731" t="s">
        <v>414</v>
      </c>
      <c r="H116" s="7" t="s">
        <v>413</v>
      </c>
      <c r="I116" s="247"/>
      <c r="J116" s="247"/>
      <c r="K116" s="37">
        <v>13550900</v>
      </c>
      <c r="L116" s="188" t="s">
        <v>8</v>
      </c>
      <c r="M116" s="188" t="s">
        <v>47</v>
      </c>
      <c r="N116" s="49" t="str">
        <f>IF(AND('331-CT'!$E$7=TH!H116,OR(L116="331",M116="331")),"331",IF(AND(OR(L116="131",M116="131"),H116='131-CT'!$E$7),"131",""))</f>
        <v/>
      </c>
      <c r="O116" s="49" t="str">
        <f>IF(AND($B116&gt;='111'!$N$11,$B116&lt;='111'!$O$11,OR($L116=$O$7,$M116=$O$7)),"x","")</f>
        <v>x</v>
      </c>
      <c r="P116" s="49" t="str">
        <f>IF(AND($L116=$O$7,$B116&lt;'111'!$N$11),"x","")</f>
        <v/>
      </c>
      <c r="Q116" s="49" t="str">
        <f>IF(AND($M116=$O$7,$B116&lt;'111'!$N$11),"x","")</f>
        <v/>
      </c>
      <c r="R116" s="49" t="str">
        <f>IF(ISERROR(FIND('112'!$M$9,G116,1)),"",IF((AND(FIND('112'!$M$9,G116,1)&gt;=1,$B116&gt;='112'!$N$8,$B116&lt;='112'!$O$8,OR($L116='112'!$I$6,$M116='112'!$I$6))),"x",""))</f>
        <v/>
      </c>
      <c r="S116" s="49" t="str">
        <f>IF(ISERROR(FIND('112'!$M$9,G116,1)),"",IF((AND(LEFT(G116,2)=LEFT('112'!$M$9,2),B116&lt;'112'!$N$8,$L116='112'!$I$6)),"x",""))</f>
        <v/>
      </c>
      <c r="T116" s="49" t="str">
        <f>IF(ISERROR(FIND('112'!$M$9,G116,1)),"",IF((AND(RIGHT(G116,2)=RIGHT('112'!$M$9,2),B116&lt;'112'!$N$8,$M116='112'!$I$6)),"x",""))</f>
        <v/>
      </c>
      <c r="U116" s="49" t="str">
        <f>IF(AND(L116="154",'154'!$O$5&lt;=B116,'154'!$P$5&gt;=B116),"154",IF(AND(L116="632",'632'!$L$5&lt;=B116,'632'!$M$5&gt;=B116),"632",IF(AND(L116="642",'642'!$N$5&lt;=B116,'642'!$O$5&gt;=B116),"642",IF(AND(L116="641",'641'!$N$5&lt;=B116,'641'!$O$5&gt;=B116),"641",""))))</f>
        <v/>
      </c>
      <c r="V116" s="49" t="str">
        <f>IF(OR(TH!L116=TH!$V$7,M116=TH!$V$7),"x","")</f>
        <v/>
      </c>
      <c r="W116" s="49" t="str">
        <f>IF(AND(B116&gt;='IN-NX'!$P$3,B116&lt;='IN-NX'!$Q$3,'IN-NX'!$D$7=D116,OR(LEFT(L116,2)="15",AND(LEFT(M116,2)&lt;&gt;"15",LEFT(M116,2)&lt;&gt;"33"))),"x","")</f>
        <v/>
      </c>
      <c r="X116" s="49" t="str">
        <f>IF(AND(OR(LEFT(TH!L116,2)="15",LEFT(TH!M116,2)="15"),'152-CT'!$J$8=TH!F116),"x","")</f>
        <v/>
      </c>
      <c r="Y116" s="49" t="str">
        <f>IF(AND(OR(LEFT(TH!L116,2)="15",LEFT(TH!M116,2)="15"),TK!$E$7=TH!F116),"x","")</f>
        <v/>
      </c>
      <c r="Z116" s="49" t="str">
        <f>IF(AND(B116&lt;=NKC!$N$8,B116&gt;=NKC!$M$8),"x","")</f>
        <v/>
      </c>
      <c r="AA116" s="723"/>
      <c r="AB116" s="497"/>
    </row>
    <row r="117" spans="1:30" s="199" customFormat="1" ht="15.75" hidden="1" customHeight="1">
      <c r="A117" s="724" t="str">
        <f>IF(B117&lt;&gt;"",IF(AND(B117&gt;=_TM1,B117&lt;=_TM2,OR(TH!L117="1111",TH!M117="1111")),TH!D117,""),"")</f>
        <v>C09</v>
      </c>
      <c r="B117" s="36">
        <f t="shared" si="9"/>
        <v>10</v>
      </c>
      <c r="C117" s="185">
        <f t="shared" si="10"/>
        <v>41211</v>
      </c>
      <c r="D117" s="185" t="s">
        <v>495</v>
      </c>
      <c r="E117" s="178">
        <v>41211</v>
      </c>
      <c r="F117" s="186" t="s">
        <v>302</v>
      </c>
      <c r="G117" s="731" t="s">
        <v>419</v>
      </c>
      <c r="H117" s="7" t="s">
        <v>420</v>
      </c>
      <c r="I117" s="247"/>
      <c r="J117" s="247"/>
      <c r="K117" s="37">
        <v>1400000</v>
      </c>
      <c r="L117" s="188" t="s">
        <v>160</v>
      </c>
      <c r="M117" s="188" t="s">
        <v>47</v>
      </c>
      <c r="N117" s="49" t="str">
        <f>IF(AND('331-CT'!$E$7=TH!H117,OR(L117="331",M117="331")),"331",IF(AND(OR(L117="131",M117="131"),H117='131-CT'!$E$7),"131",""))</f>
        <v/>
      </c>
      <c r="O117" s="49" t="str">
        <f>IF(AND($B117&gt;='111'!$N$11,$B117&lt;='111'!$O$11,OR($L117=$O$7,$M117=$O$7)),"x","")</f>
        <v>x</v>
      </c>
      <c r="P117" s="49" t="str">
        <f>IF(AND($L117=$O$7,$B117&lt;'111'!$N$11),"x","")</f>
        <v/>
      </c>
      <c r="Q117" s="49" t="str">
        <f>IF(AND($M117=$O$7,$B117&lt;'111'!$N$11),"x","")</f>
        <v/>
      </c>
      <c r="R117" s="49" t="str">
        <f>IF(ISERROR(FIND('112'!$M$9,G117,1)),"",IF((AND(FIND('112'!$M$9,G117,1)&gt;=1,$B117&gt;='112'!$N$8,$B117&lt;='112'!$O$8,OR($L117='112'!$I$6,$M117='112'!$I$6))),"x",""))</f>
        <v/>
      </c>
      <c r="S117" s="49" t="str">
        <f>IF(ISERROR(FIND('112'!$M$9,G117,1)),"",IF((AND(LEFT(G117,2)=LEFT('112'!$M$9,2),B117&lt;'112'!$N$8,$L117='112'!$I$6)),"x",""))</f>
        <v/>
      </c>
      <c r="T117" s="49" t="str">
        <f>IF(ISERROR(FIND('112'!$M$9,G117,1)),"",IF((AND(RIGHT(G117,2)=RIGHT('112'!$M$9,2),B117&lt;'112'!$N$8,$M117='112'!$I$6)),"x",""))</f>
        <v/>
      </c>
      <c r="U117" s="49" t="str">
        <f>IF(AND(L117="154",'154'!$O$5&lt;=B117,'154'!$P$5&gt;=B117),"154",IF(AND(L117="632",'632'!$L$5&lt;=B117,'632'!$M$5&gt;=B117),"632",IF(AND(L117="642",'642'!$N$5&lt;=B117,'642'!$O$5&gt;=B117),"642",IF(AND(L117="641",'641'!$N$5&lt;=B117,'641'!$O$5&gt;=B117),"641",""))))</f>
        <v/>
      </c>
      <c r="V117" s="49" t="str">
        <f>IF(OR(TH!L117=TH!$V$7,M117=TH!$V$7),"x","")</f>
        <v/>
      </c>
      <c r="W117" s="49" t="str">
        <f>IF(AND(B117&gt;='IN-NX'!$P$3,B117&lt;='IN-NX'!$Q$3,'IN-NX'!$D$7=D117,OR(LEFT(L117,2)="15",AND(LEFT(M117,2)&lt;&gt;"15",LEFT(M117,2)&lt;&gt;"33"))),"x","")</f>
        <v/>
      </c>
      <c r="X117" s="49" t="str">
        <f>IF(AND(OR(LEFT(TH!L117,2)="15",LEFT(TH!M117,2)="15"),'152-CT'!$J$8=TH!F117),"x","")</f>
        <v/>
      </c>
      <c r="Y117" s="49" t="str">
        <f>IF(AND(OR(LEFT(TH!L117,2)="15",LEFT(TH!M117,2)="15"),TK!$E$7=TH!F117),"x","")</f>
        <v/>
      </c>
      <c r="Z117" s="49" t="str">
        <f>IF(AND(B117&lt;=NKC!$N$8,B117&gt;=NKC!$M$8),"x","")</f>
        <v/>
      </c>
      <c r="AA117" s="723"/>
      <c r="AB117" s="497"/>
    </row>
    <row r="118" spans="1:30" s="199" customFormat="1" ht="15.75" hidden="1" customHeight="1">
      <c r="A118" s="724" t="str">
        <f>IF(B118&lt;&gt;"",IF(AND(B118&gt;=_TM1,B118&lt;=_TM2,OR(TH!L118="1111",TH!M118="1111")),TH!D118,""),"")</f>
        <v/>
      </c>
      <c r="B118" s="36">
        <f t="shared" si="9"/>
        <v>10</v>
      </c>
      <c r="C118" s="185">
        <f t="shared" si="10"/>
        <v>41211</v>
      </c>
      <c r="D118" s="178" t="s">
        <v>598</v>
      </c>
      <c r="E118" s="185">
        <v>41211</v>
      </c>
      <c r="F118" s="186" t="s">
        <v>555</v>
      </c>
      <c r="G118" s="732" t="s">
        <v>556</v>
      </c>
      <c r="H118" s="187" t="s">
        <v>552</v>
      </c>
      <c r="I118" s="247">
        <v>500</v>
      </c>
      <c r="J118" s="247">
        <v>15500</v>
      </c>
      <c r="K118" s="505">
        <f>ROUND(I118*J118,0)</f>
        <v>7750000</v>
      </c>
      <c r="L118" s="506" t="s">
        <v>252</v>
      </c>
      <c r="M118" s="506" t="s">
        <v>164</v>
      </c>
      <c r="N118" s="49" t="str">
        <f>IF(AND('331-CT'!$E$7=TH!H118,OR(L118="331",M118="331")),"331",IF(AND(OR(L118="131",M118="131"),H118='131-CT'!$E$7),"131",""))</f>
        <v/>
      </c>
      <c r="O118" s="49" t="str">
        <f>IF(AND($B118&gt;='111'!$N$11,$B118&lt;='111'!$O$11,OR($L118=$O$7,$M118=$O$7)),"x","")</f>
        <v/>
      </c>
      <c r="P118" s="49" t="str">
        <f>IF(AND($L118=$O$7,$B118&lt;'111'!$N$11),"x","")</f>
        <v/>
      </c>
      <c r="Q118" s="49" t="str">
        <f>IF(AND($M118=$O$7,$B118&lt;'111'!$N$11),"x","")</f>
        <v/>
      </c>
      <c r="R118" s="49" t="str">
        <f>IF(ISERROR(FIND('112'!$M$9,G118,1)),"",IF((AND(FIND('112'!$M$9,G118,1)&gt;=1,$B118&gt;='112'!$N$8,$B118&lt;='112'!$O$8,OR($L118='112'!$I$6,$M118='112'!$I$6))),"x",""))</f>
        <v/>
      </c>
      <c r="S118" s="49" t="str">
        <f>IF(ISERROR(FIND('112'!$M$9,G118,1)),"",IF((AND(LEFT(G118,2)=LEFT('112'!$M$9,2),B118&lt;'112'!$N$8,$L118='112'!$I$6)),"x",""))</f>
        <v/>
      </c>
      <c r="T118" s="49" t="str">
        <f>IF(ISERROR(FIND('112'!$M$9,G118,1)),"",IF((AND(RIGHT(G118,2)=RIGHT('112'!$M$9,2),B118&lt;'112'!$N$8,$M118='112'!$I$6)),"x",""))</f>
        <v/>
      </c>
      <c r="U118" s="49" t="str">
        <f>IF(AND(L118="154",'154'!$O$5&lt;=B118,'154'!$P$5&gt;=B118),"154",IF(AND(L118="632",'632'!$L$5&lt;=B118,'632'!$M$5&gt;=B118),"632",IF(AND(L118="642",'642'!$N$5&lt;=B118,'642'!$O$5&gt;=B118),"642",IF(AND(L118="641",'641'!$N$5&lt;=B118,'641'!$O$5&gt;=B118),"641",""))))</f>
        <v/>
      </c>
      <c r="V118" s="49" t="str">
        <f>IF(OR(TH!L118=TH!$V$7,M118=TH!$V$7),"x","")</f>
        <v/>
      </c>
      <c r="W118" s="49" t="str">
        <f>IF(AND(B118&gt;='IN-NX'!$P$3,B118&lt;='IN-NX'!$Q$3,'IN-NX'!$D$7=D118,OR(LEFT(L118,2)="15",AND(LEFT(M118,2)&lt;&gt;"15",LEFT(M118,2)&lt;&gt;"33"))),"x","")</f>
        <v/>
      </c>
      <c r="X118" s="49" t="str">
        <f>IF(AND(OR(LEFT(TH!L118,2)="15",LEFT(TH!M118,2)="15"),'152-CT'!$J$8=TH!F118),"x","")</f>
        <v/>
      </c>
      <c r="Y118" s="49" t="str">
        <f>IF(AND(OR(LEFT(TH!L118,2)="15",LEFT(TH!M118,2)="15"),TK!$E$7=TH!F118),"x","")</f>
        <v/>
      </c>
      <c r="Z118" s="49" t="str">
        <f>IF(AND(B118&lt;=NKC!$N$8,B118&gt;=NKC!$M$8),"x","")</f>
        <v/>
      </c>
      <c r="AA118" s="723"/>
      <c r="AB118" s="497"/>
      <c r="AC118" s="497"/>
      <c r="AD118" s="497"/>
    </row>
    <row r="119" spans="1:30" s="199" customFormat="1" ht="15.75" hidden="1" customHeight="1">
      <c r="A119" s="724" t="str">
        <f>IF(B119&lt;&gt;"",IF(AND(B119&gt;=_TM1,B119&lt;=_TM2,OR(TH!L119="1111",TH!M119="1111")),TH!D119,""),"")</f>
        <v/>
      </c>
      <c r="B119" s="36">
        <f t="shared" si="9"/>
        <v>10</v>
      </c>
      <c r="C119" s="185">
        <f t="shared" si="10"/>
        <v>41211</v>
      </c>
      <c r="D119" s="178" t="s">
        <v>598</v>
      </c>
      <c r="E119" s="185">
        <v>41211</v>
      </c>
      <c r="F119" s="186" t="s">
        <v>538</v>
      </c>
      <c r="G119" s="732" t="s">
        <v>556</v>
      </c>
      <c r="H119" s="187" t="s">
        <v>552</v>
      </c>
      <c r="I119" s="247"/>
      <c r="J119" s="247"/>
      <c r="K119" s="505">
        <v>775000</v>
      </c>
      <c r="L119" s="506" t="s">
        <v>252</v>
      </c>
      <c r="M119" s="506" t="s">
        <v>297</v>
      </c>
      <c r="N119" s="49" t="str">
        <f>IF(AND('331-CT'!$E$7=TH!H119,OR(L119="331",M119="331")),"331",IF(AND(OR(L119="131",M119="131"),H119='131-CT'!$E$7),"131",""))</f>
        <v/>
      </c>
      <c r="O119" s="49" t="str">
        <f>IF(AND($B119&gt;='111'!$N$11,$B119&lt;='111'!$O$11,OR($L119=$O$7,$M119=$O$7)),"x","")</f>
        <v/>
      </c>
      <c r="P119" s="49" t="str">
        <f>IF(AND($L119=$O$7,$B119&lt;'111'!$N$11),"x","")</f>
        <v/>
      </c>
      <c r="Q119" s="49" t="str">
        <f>IF(AND($M119=$O$7,$B119&lt;'111'!$N$11),"x","")</f>
        <v/>
      </c>
      <c r="R119" s="49" t="str">
        <f>IF(ISERROR(FIND('112'!$M$9,G119,1)),"",IF((AND(FIND('112'!$M$9,G119,1)&gt;=1,$B119&gt;='112'!$N$8,$B119&lt;='112'!$O$8,OR($L119='112'!$I$6,$M119='112'!$I$6))),"x",""))</f>
        <v/>
      </c>
      <c r="S119" s="49" t="str">
        <f>IF(ISERROR(FIND('112'!$M$9,G119,1)),"",IF((AND(LEFT(G119,2)=LEFT('112'!$M$9,2),B119&lt;'112'!$N$8,$L119='112'!$I$6)),"x",""))</f>
        <v/>
      </c>
      <c r="T119" s="49" t="str">
        <f>IF(ISERROR(FIND('112'!$M$9,G119,1)),"",IF((AND(RIGHT(G119,2)=RIGHT('112'!$M$9,2),B119&lt;'112'!$N$8,$M119='112'!$I$6)),"x",""))</f>
        <v/>
      </c>
      <c r="U119" s="49" t="str">
        <f>IF(AND(L119="154",'154'!$O$5&lt;=B119,'154'!$P$5&gt;=B119),"154",IF(AND(L119="632",'632'!$L$5&lt;=B119,'632'!$M$5&gt;=B119),"632",IF(AND(L119="642",'642'!$N$5&lt;=B119,'642'!$O$5&gt;=B119),"642",IF(AND(L119="641",'641'!$N$5&lt;=B119,'641'!$O$5&gt;=B119),"641",""))))</f>
        <v/>
      </c>
      <c r="V119" s="49" t="str">
        <f>IF(OR(TH!L119=TH!$V$7,M119=TH!$V$7),"x","")</f>
        <v/>
      </c>
      <c r="W119" s="49" t="str">
        <f>IF(AND(B119&gt;='IN-NX'!$P$3,B119&lt;='IN-NX'!$Q$3,'IN-NX'!$D$7=D119,OR(LEFT(L119,2)="15",AND(LEFT(M119,2)&lt;&gt;"15",LEFT(M119,2)&lt;&gt;"33"))),"x","")</f>
        <v/>
      </c>
      <c r="X119" s="49" t="str">
        <f>IF(AND(OR(LEFT(TH!L119,2)="15",LEFT(TH!M119,2)="15"),'152-CT'!$J$8=TH!F119),"x","")</f>
        <v/>
      </c>
      <c r="Y119" s="49" t="str">
        <f>IF(AND(OR(LEFT(TH!L119,2)="15",LEFT(TH!M119,2)="15"),TK!$E$7=TH!F119),"x","")</f>
        <v/>
      </c>
      <c r="Z119" s="49" t="str">
        <f>IF(AND(B119&lt;=NKC!$N$8,B119&gt;=NKC!$M$8),"x","")</f>
        <v/>
      </c>
      <c r="AA119" s="723"/>
      <c r="AB119" s="497"/>
      <c r="AC119" s="497"/>
      <c r="AD119" s="497"/>
    </row>
    <row r="120" spans="1:30" s="199" customFormat="1" ht="15.75" hidden="1" customHeight="1">
      <c r="A120" s="724" t="str">
        <f>IF(B120&lt;&gt;"",IF(AND(B120&gt;=_TM1,B120&lt;=_TM2,OR(TH!L120="1111",TH!M120="1111")),TH!D120,""),"")</f>
        <v/>
      </c>
      <c r="B120" s="36">
        <f t="shared" si="9"/>
        <v>10</v>
      </c>
      <c r="C120" s="185">
        <f t="shared" si="10"/>
        <v>41213</v>
      </c>
      <c r="D120" s="178" t="s">
        <v>599</v>
      </c>
      <c r="E120" s="185">
        <v>41213</v>
      </c>
      <c r="F120" s="186" t="s">
        <v>557</v>
      </c>
      <c r="G120" s="732" t="s">
        <v>558</v>
      </c>
      <c r="H120" s="187" t="s">
        <v>481</v>
      </c>
      <c r="I120" s="247">
        <v>1000</v>
      </c>
      <c r="J120" s="247">
        <v>7880</v>
      </c>
      <c r="K120" s="505">
        <f>ROUND(I120*J120,0)</f>
        <v>7880000</v>
      </c>
      <c r="L120" s="506" t="s">
        <v>252</v>
      </c>
      <c r="M120" s="506" t="s">
        <v>164</v>
      </c>
      <c r="N120" s="49" t="str">
        <f>IF(AND('331-CT'!$E$7=TH!H120,OR(L120="331",M120="331")),"331",IF(AND(OR(L120="131",M120="131"),H120='131-CT'!$E$7),"131",""))</f>
        <v/>
      </c>
      <c r="O120" s="49" t="str">
        <f>IF(AND($B120&gt;='111'!$N$11,$B120&lt;='111'!$O$11,OR($L120=$O$7,$M120=$O$7)),"x","")</f>
        <v/>
      </c>
      <c r="P120" s="49" t="str">
        <f>IF(AND($L120=$O$7,$B120&lt;'111'!$N$11),"x","")</f>
        <v/>
      </c>
      <c r="Q120" s="49" t="str">
        <f>IF(AND($M120=$O$7,$B120&lt;'111'!$N$11),"x","")</f>
        <v/>
      </c>
      <c r="R120" s="49" t="str">
        <f>IF(ISERROR(FIND('112'!$M$9,G120,1)),"",IF((AND(FIND('112'!$M$9,G120,1)&gt;=1,$B120&gt;='112'!$N$8,$B120&lt;='112'!$O$8,OR($L120='112'!$I$6,$M120='112'!$I$6))),"x",""))</f>
        <v/>
      </c>
      <c r="S120" s="49" t="str">
        <f>IF(ISERROR(FIND('112'!$M$9,G120,1)),"",IF((AND(LEFT(G120,2)=LEFT('112'!$M$9,2),B120&lt;'112'!$N$8,$L120='112'!$I$6)),"x",""))</f>
        <v/>
      </c>
      <c r="T120" s="49" t="str">
        <f>IF(ISERROR(FIND('112'!$M$9,G120,1)),"",IF((AND(RIGHT(G120,2)=RIGHT('112'!$M$9,2),B120&lt;'112'!$N$8,$M120='112'!$I$6)),"x",""))</f>
        <v/>
      </c>
      <c r="U120" s="49" t="str">
        <f>IF(AND(L120="154",'154'!$O$5&lt;=B120,'154'!$P$5&gt;=B120),"154",IF(AND(L120="632",'632'!$L$5&lt;=B120,'632'!$M$5&gt;=B120),"632",IF(AND(L120="642",'642'!$N$5&lt;=B120,'642'!$O$5&gt;=B120),"642",IF(AND(L120="641",'641'!$N$5&lt;=B120,'641'!$O$5&gt;=B120),"641",""))))</f>
        <v/>
      </c>
      <c r="V120" s="49" t="str">
        <f>IF(OR(TH!L120=TH!$V$7,M120=TH!$V$7),"x","")</f>
        <v/>
      </c>
      <c r="W120" s="49" t="str">
        <f>IF(AND(B120&gt;='IN-NX'!$P$3,B120&lt;='IN-NX'!$Q$3,'IN-NX'!$D$7=D120,OR(LEFT(L120,2)="15",AND(LEFT(M120,2)&lt;&gt;"15",LEFT(M120,2)&lt;&gt;"33"))),"x","")</f>
        <v/>
      </c>
      <c r="X120" s="49" t="str">
        <f>IF(AND(OR(LEFT(TH!L120,2)="15",LEFT(TH!M120,2)="15"),'152-CT'!$J$8=TH!F120),"x","")</f>
        <v/>
      </c>
      <c r="Y120" s="49" t="str">
        <f>IF(AND(OR(LEFT(TH!L120,2)="15",LEFT(TH!M120,2)="15"),TK!$E$7=TH!F120),"x","")</f>
        <v/>
      </c>
      <c r="Z120" s="49" t="str">
        <f>IF(AND(B120&lt;=NKC!$N$8,B120&gt;=NKC!$M$8),"x","")</f>
        <v/>
      </c>
      <c r="AA120" s="723"/>
      <c r="AB120" s="497"/>
      <c r="AC120" s="497"/>
      <c r="AD120" s="497"/>
    </row>
    <row r="121" spans="1:30" s="199" customFormat="1" ht="15.75" hidden="1" customHeight="1">
      <c r="A121" s="724" t="str">
        <f>IF(B121&lt;&gt;"",IF(AND(B121&gt;=_TM1,B121&lt;=_TM2,OR(TH!L121="1111",TH!M121="1111")),TH!D121,""),"")</f>
        <v/>
      </c>
      <c r="B121" s="36">
        <f t="shared" si="9"/>
        <v>10</v>
      </c>
      <c r="C121" s="185">
        <f t="shared" si="10"/>
        <v>41213</v>
      </c>
      <c r="D121" s="178" t="s">
        <v>599</v>
      </c>
      <c r="E121" s="185">
        <v>41213</v>
      </c>
      <c r="F121" s="186" t="s">
        <v>547</v>
      </c>
      <c r="G121" s="732" t="s">
        <v>558</v>
      </c>
      <c r="H121" s="187" t="s">
        <v>481</v>
      </c>
      <c r="I121" s="247">
        <v>400</v>
      </c>
      <c r="J121" s="247">
        <v>6400</v>
      </c>
      <c r="K121" s="505">
        <f>ROUND(I121*J121,0)</f>
        <v>2560000</v>
      </c>
      <c r="L121" s="506" t="s">
        <v>252</v>
      </c>
      <c r="M121" s="506" t="s">
        <v>164</v>
      </c>
      <c r="N121" s="49" t="str">
        <f>IF(AND('331-CT'!$E$7=TH!H121,OR(L121="331",M121="331")),"331",IF(AND(OR(L121="131",M121="131"),H121='131-CT'!$E$7),"131",""))</f>
        <v/>
      </c>
      <c r="O121" s="49" t="str">
        <f>IF(AND($B121&gt;='111'!$N$11,$B121&lt;='111'!$O$11,OR($L121=$O$7,$M121=$O$7)),"x","")</f>
        <v/>
      </c>
      <c r="P121" s="49" t="str">
        <f>IF(AND($L121=$O$7,$B121&lt;'111'!$N$11),"x","")</f>
        <v/>
      </c>
      <c r="Q121" s="49" t="str">
        <f>IF(AND($M121=$O$7,$B121&lt;'111'!$N$11),"x","")</f>
        <v/>
      </c>
      <c r="R121" s="49" t="str">
        <f>IF(ISERROR(FIND('112'!$M$9,G121,1)),"",IF((AND(FIND('112'!$M$9,G121,1)&gt;=1,$B121&gt;='112'!$N$8,$B121&lt;='112'!$O$8,OR($L121='112'!$I$6,$M121='112'!$I$6))),"x",""))</f>
        <v/>
      </c>
      <c r="S121" s="49" t="str">
        <f>IF(ISERROR(FIND('112'!$M$9,G121,1)),"",IF((AND(LEFT(G121,2)=LEFT('112'!$M$9,2),B121&lt;'112'!$N$8,$L121='112'!$I$6)),"x",""))</f>
        <v/>
      </c>
      <c r="T121" s="49" t="str">
        <f>IF(ISERROR(FIND('112'!$M$9,G121,1)),"",IF((AND(RIGHT(G121,2)=RIGHT('112'!$M$9,2),B121&lt;'112'!$N$8,$M121='112'!$I$6)),"x",""))</f>
        <v/>
      </c>
      <c r="U121" s="49" t="str">
        <f>IF(AND(L121="154",'154'!$O$5&lt;=B121,'154'!$P$5&gt;=B121),"154",IF(AND(L121="632",'632'!$L$5&lt;=B121,'632'!$M$5&gt;=B121),"632",IF(AND(L121="642",'642'!$N$5&lt;=B121,'642'!$O$5&gt;=B121),"642",IF(AND(L121="641",'641'!$N$5&lt;=B121,'641'!$O$5&gt;=B121),"641",""))))</f>
        <v/>
      </c>
      <c r="V121" s="49" t="str">
        <f>IF(OR(TH!L121=TH!$V$7,M121=TH!$V$7),"x","")</f>
        <v/>
      </c>
      <c r="W121" s="49" t="str">
        <f>IF(AND(B121&gt;='IN-NX'!$P$3,B121&lt;='IN-NX'!$Q$3,'IN-NX'!$D$7=D121,OR(LEFT(L121,2)="15",AND(LEFT(M121,2)&lt;&gt;"15",LEFT(M121,2)&lt;&gt;"33"))),"x","")</f>
        <v/>
      </c>
      <c r="X121" s="49" t="str">
        <f>IF(AND(OR(LEFT(TH!L121,2)="15",LEFT(TH!M121,2)="15"),'152-CT'!$J$8=TH!F121),"x","")</f>
        <v/>
      </c>
      <c r="Y121" s="49" t="str">
        <f>IF(AND(OR(LEFT(TH!L121,2)="15",LEFT(TH!M121,2)="15"),TK!$E$7=TH!F121),"x","")</f>
        <v/>
      </c>
      <c r="Z121" s="49" t="str">
        <f>IF(AND(B121&lt;=NKC!$N$8,B121&gt;=NKC!$M$8),"x","")</f>
        <v/>
      </c>
      <c r="AA121" s="723"/>
      <c r="AB121" s="497"/>
    </row>
    <row r="122" spans="1:30" s="199" customFormat="1" ht="15.75" hidden="1" customHeight="1">
      <c r="A122" s="724" t="str">
        <f>IF(B122&lt;&gt;"",IF(AND(B122&gt;=_TM1,B122&lt;=_TM2,OR(TH!L122="1111",TH!M122="1111")),TH!D122,""),"")</f>
        <v/>
      </c>
      <c r="B122" s="36">
        <f t="shared" si="9"/>
        <v>10</v>
      </c>
      <c r="C122" s="185">
        <f t="shared" si="10"/>
        <v>41213</v>
      </c>
      <c r="D122" s="178" t="s">
        <v>599</v>
      </c>
      <c r="E122" s="185">
        <v>41213</v>
      </c>
      <c r="F122" s="186" t="s">
        <v>538</v>
      </c>
      <c r="G122" s="732" t="s">
        <v>558</v>
      </c>
      <c r="H122" s="187" t="s">
        <v>481</v>
      </c>
      <c r="I122" s="247"/>
      <c r="J122" s="247"/>
      <c r="K122" s="505">
        <v>1044000</v>
      </c>
      <c r="L122" s="506" t="s">
        <v>252</v>
      </c>
      <c r="M122" s="506" t="s">
        <v>297</v>
      </c>
      <c r="N122" s="49" t="str">
        <f>IF(AND('331-CT'!$E$7=TH!H122,OR(L122="331",M122="331")),"331",IF(AND(OR(L122="131",M122="131"),H122='131-CT'!$E$7),"131",""))</f>
        <v/>
      </c>
      <c r="O122" s="49" t="str">
        <f>IF(AND($B122&gt;='111'!$N$11,$B122&lt;='111'!$O$11,OR($L122=$O$7,$M122=$O$7)),"x","")</f>
        <v/>
      </c>
      <c r="P122" s="49" t="str">
        <f>IF(AND($L122=$O$7,$B122&lt;'111'!$N$11),"x","")</f>
        <v/>
      </c>
      <c r="Q122" s="49" t="str">
        <f>IF(AND($M122=$O$7,$B122&lt;'111'!$N$11),"x","")</f>
        <v/>
      </c>
      <c r="R122" s="49" t="str">
        <f>IF(ISERROR(FIND('112'!$M$9,G122,1)),"",IF((AND(FIND('112'!$M$9,G122,1)&gt;=1,$B122&gt;='112'!$N$8,$B122&lt;='112'!$O$8,OR($L122='112'!$I$6,$M122='112'!$I$6))),"x",""))</f>
        <v/>
      </c>
      <c r="S122" s="49" t="str">
        <f>IF(ISERROR(FIND('112'!$M$9,G122,1)),"",IF((AND(LEFT(G122,2)=LEFT('112'!$M$9,2),B122&lt;'112'!$N$8,$L122='112'!$I$6)),"x",""))</f>
        <v/>
      </c>
      <c r="T122" s="49" t="str">
        <f>IF(ISERROR(FIND('112'!$M$9,G122,1)),"",IF((AND(RIGHT(G122,2)=RIGHT('112'!$M$9,2),B122&lt;'112'!$N$8,$M122='112'!$I$6)),"x",""))</f>
        <v/>
      </c>
      <c r="U122" s="49" t="str">
        <f>IF(AND(L122="154",'154'!$O$5&lt;=B122,'154'!$P$5&gt;=B122),"154",IF(AND(L122="632",'632'!$L$5&lt;=B122,'632'!$M$5&gt;=B122),"632",IF(AND(L122="642",'642'!$N$5&lt;=B122,'642'!$O$5&gt;=B122),"642",IF(AND(L122="641",'641'!$N$5&lt;=B122,'641'!$O$5&gt;=B122),"641",""))))</f>
        <v/>
      </c>
      <c r="V122" s="49" t="str">
        <f>IF(OR(TH!L122=TH!$V$7,M122=TH!$V$7),"x","")</f>
        <v/>
      </c>
      <c r="W122" s="49" t="str">
        <f>IF(AND(B122&gt;='IN-NX'!$P$3,B122&lt;='IN-NX'!$Q$3,'IN-NX'!$D$7=D122,OR(LEFT(L122,2)="15",AND(LEFT(M122,2)&lt;&gt;"15",LEFT(M122,2)&lt;&gt;"33"))),"x","")</f>
        <v/>
      </c>
      <c r="X122" s="49" t="str">
        <f>IF(AND(OR(LEFT(TH!L122,2)="15",LEFT(TH!M122,2)="15"),'152-CT'!$J$8=TH!F122),"x","")</f>
        <v/>
      </c>
      <c r="Y122" s="49" t="str">
        <f>IF(AND(OR(LEFT(TH!L122,2)="15",LEFT(TH!M122,2)="15"),TK!$E$7=TH!F122),"x","")</f>
        <v/>
      </c>
      <c r="Z122" s="49" t="str">
        <f>IF(AND(B122&lt;=NKC!$N$8,B122&gt;=NKC!$M$8),"x","")</f>
        <v/>
      </c>
      <c r="AA122" s="723"/>
      <c r="AB122" s="497"/>
      <c r="AC122" s="497"/>
      <c r="AD122" s="497"/>
    </row>
    <row r="123" spans="1:30" s="199" customFormat="1" ht="15.75" hidden="1" customHeight="1">
      <c r="A123" s="724" t="str">
        <f>IF(B123&lt;&gt;"",IF(AND(B123&gt;=_TM1,B123&lt;=_TM2,OR(TH!L123="1111",TH!M123="1111")),TH!D123,""),"")</f>
        <v>T04</v>
      </c>
      <c r="B123" s="36">
        <f t="shared" si="9"/>
        <v>10</v>
      </c>
      <c r="C123" s="185">
        <f t="shared" si="10"/>
        <v>41213</v>
      </c>
      <c r="D123" s="178" t="s">
        <v>521</v>
      </c>
      <c r="E123" s="185">
        <v>41213</v>
      </c>
      <c r="F123" s="186" t="s">
        <v>476</v>
      </c>
      <c r="G123" s="732" t="s">
        <v>558</v>
      </c>
      <c r="H123" s="187" t="s">
        <v>481</v>
      </c>
      <c r="I123" s="247"/>
      <c r="J123" s="247"/>
      <c r="K123" s="505">
        <v>11484000</v>
      </c>
      <c r="L123" s="506" t="s">
        <v>47</v>
      </c>
      <c r="M123" s="506" t="s">
        <v>252</v>
      </c>
      <c r="N123" s="49" t="str">
        <f>IF(AND('331-CT'!$E$7=TH!H123,OR(L123="331",M123="331")),"331",IF(AND(OR(L123="131",M123="131"),H123='131-CT'!$E$7),"131",""))</f>
        <v/>
      </c>
      <c r="O123" s="49" t="str">
        <f>IF(AND($B123&gt;='111'!$N$11,$B123&lt;='111'!$O$11,OR($L123=$O$7,$M123=$O$7)),"x","")</f>
        <v>x</v>
      </c>
      <c r="P123" s="49" t="str">
        <f>IF(AND($L123=$O$7,$B123&lt;'111'!$N$11),"x","")</f>
        <v/>
      </c>
      <c r="Q123" s="49" t="str">
        <f>IF(AND($M123=$O$7,$B123&lt;'111'!$N$11),"x","")</f>
        <v/>
      </c>
      <c r="R123" s="49" t="str">
        <f>IF(ISERROR(FIND('112'!$M$9,G123,1)),"",IF((AND(FIND('112'!$M$9,G123,1)&gt;=1,$B123&gt;='112'!$N$8,$B123&lt;='112'!$O$8,OR($L123='112'!$I$6,$M123='112'!$I$6))),"x",""))</f>
        <v/>
      </c>
      <c r="S123" s="49" t="str">
        <f>IF(ISERROR(FIND('112'!$M$9,G123,1)),"",IF((AND(LEFT(G123,2)=LEFT('112'!$M$9,2),B123&lt;'112'!$N$8,$L123='112'!$I$6)),"x",""))</f>
        <v/>
      </c>
      <c r="T123" s="49" t="str">
        <f>IF(ISERROR(FIND('112'!$M$9,G123,1)),"",IF((AND(RIGHT(G123,2)=RIGHT('112'!$M$9,2),B123&lt;'112'!$N$8,$M123='112'!$I$6)),"x",""))</f>
        <v/>
      </c>
      <c r="U123" s="49" t="str">
        <f>IF(AND(L123="154",'154'!$O$5&lt;=B123,'154'!$P$5&gt;=B123),"154",IF(AND(L123="632",'632'!$L$5&lt;=B123,'632'!$M$5&gt;=B123),"632",IF(AND(L123="642",'642'!$N$5&lt;=B123,'642'!$O$5&gt;=B123),"642",IF(AND(L123="641",'641'!$N$5&lt;=B123,'641'!$O$5&gt;=B123),"641",""))))</f>
        <v/>
      </c>
      <c r="V123" s="49" t="str">
        <f>IF(OR(TH!L123=TH!$V$7,M123=TH!$V$7),"x","")</f>
        <v/>
      </c>
      <c r="W123" s="49" t="str">
        <f>IF(AND(B123&gt;='IN-NX'!$P$3,B123&lt;='IN-NX'!$Q$3,'IN-NX'!$D$7=D123,OR(LEFT(L123,2)="15",AND(LEFT(M123,2)&lt;&gt;"15",LEFT(M123,2)&lt;&gt;"33"))),"x","")</f>
        <v/>
      </c>
      <c r="X123" s="49" t="str">
        <f>IF(AND(OR(LEFT(TH!L123,2)="15",LEFT(TH!M123,2)="15"),'152-CT'!$J$8=TH!F123),"x","")</f>
        <v/>
      </c>
      <c r="Y123" s="49" t="str">
        <f>IF(AND(OR(LEFT(TH!L123,2)="15",LEFT(TH!M123,2)="15"),TK!$E$7=TH!F123),"x","")</f>
        <v/>
      </c>
      <c r="Z123" s="49" t="str">
        <f>IF(AND(B123&lt;=NKC!$N$8,B123&gt;=NKC!$M$8),"x","")</f>
        <v/>
      </c>
      <c r="AA123" s="723"/>
      <c r="AB123" s="497"/>
      <c r="AC123" s="497"/>
      <c r="AD123" s="497"/>
    </row>
    <row r="124" spans="1:30" s="199" customFormat="1" ht="15.75" customHeight="1">
      <c r="A124" s="724" t="str">
        <f>IF(B124&lt;&gt;"",IF(AND(B124&gt;=_TM1,B124&lt;=_TM2,OR(TH!L124="1111",TH!M124="1111")),TH!D124,""),"")</f>
        <v/>
      </c>
      <c r="B124" s="36">
        <f t="shared" si="9"/>
        <v>10</v>
      </c>
      <c r="C124" s="185">
        <f t="shared" si="10"/>
        <v>41213</v>
      </c>
      <c r="D124" s="185" t="s">
        <v>271</v>
      </c>
      <c r="E124" s="185">
        <v>41213</v>
      </c>
      <c r="F124" s="186" t="s">
        <v>590</v>
      </c>
      <c r="G124" s="732"/>
      <c r="H124" s="187" t="s">
        <v>411</v>
      </c>
      <c r="I124" s="247"/>
      <c r="J124" s="247"/>
      <c r="K124" s="505">
        <v>515398</v>
      </c>
      <c r="L124" s="506" t="s">
        <v>9</v>
      </c>
      <c r="M124" s="506" t="s">
        <v>17</v>
      </c>
      <c r="N124" s="49" t="str">
        <f>IF(AND('331-CT'!$E$7=TH!H124,OR(L124="331",M124="331")),"331",IF(AND(OR(L124="131",M124="131"),H124='131-CT'!$E$7),"131",""))</f>
        <v/>
      </c>
      <c r="O124" s="49" t="str">
        <f>IF(AND($B124&gt;='111'!$N$11,$B124&lt;='111'!$O$11,OR($L124=$O$7,$M124=$O$7)),"x","")</f>
        <v/>
      </c>
      <c r="P124" s="49" t="str">
        <f>IF(AND($L124=$O$7,$B124&lt;'111'!$N$11),"x","")</f>
        <v/>
      </c>
      <c r="Q124" s="49" t="str">
        <f>IF(AND($M124=$O$7,$B124&lt;'111'!$N$11),"x","")</f>
        <v/>
      </c>
      <c r="R124" s="49" t="str">
        <f>IF(ISERROR(FIND('112'!$M$9,G124,1)),"",IF((AND(FIND('112'!$M$9,G124,1)&gt;=1,$B124&gt;='112'!$N$8,$B124&lt;='112'!$O$8,OR($L124='112'!$I$6,$M124='112'!$I$6))),"x",""))</f>
        <v/>
      </c>
      <c r="S124" s="49" t="str">
        <f>IF(ISERROR(FIND('112'!$M$9,G124,1)),"",IF((AND(LEFT(G124,2)=LEFT('112'!$M$9,2),B124&lt;'112'!$N$8,$L124='112'!$I$6)),"x",""))</f>
        <v/>
      </c>
      <c r="T124" s="49" t="str">
        <f>IF(ISERROR(FIND('112'!$M$9,G124,1)),"",IF((AND(RIGHT(G124,2)=RIGHT('112'!$M$9,2),B124&lt;'112'!$N$8,$M124='112'!$I$6)),"x",""))</f>
        <v/>
      </c>
      <c r="U124" s="49" t="str">
        <f>IF(AND(L124="154",'154'!$O$5&lt;=B124,'154'!$P$5&gt;=B124),"154",IF(AND(L124="632",'632'!$L$5&lt;=B124,'632'!$M$5&gt;=B124),"632",IF(AND(L124="642",'642'!$N$5&lt;=B124,'642'!$O$5&gt;=B124),"642",IF(AND(L124="641",'641'!$N$5&lt;=B124,'641'!$O$5&gt;=B124),"641",""))))</f>
        <v/>
      </c>
      <c r="V124" s="49" t="str">
        <f>IF(OR(TH!L124=TH!$V$7,M124=TH!$V$7),"x","")</f>
        <v>x</v>
      </c>
      <c r="W124" s="49" t="str">
        <f>IF(AND(B124&gt;='IN-NX'!$P$3,B124&lt;='IN-NX'!$Q$3,'IN-NX'!$D$7=D124,OR(LEFT(L124,2)="15",AND(LEFT(M124,2)&lt;&gt;"15",LEFT(M124,2)&lt;&gt;"33"))),"x","")</f>
        <v/>
      </c>
      <c r="X124" s="49" t="str">
        <f>IF(AND(OR(LEFT(TH!L124,2)="15",LEFT(TH!M124,2)="15"),'152-CT'!$J$8=TH!F124),"x","")</f>
        <v/>
      </c>
      <c r="Y124" s="49" t="str">
        <f>IF(AND(OR(LEFT(TH!L124,2)="15",LEFT(TH!M124,2)="15"),TK!$E$7=TH!F124),"x","")</f>
        <v/>
      </c>
      <c r="Z124" s="49" t="str">
        <f>IF(AND(B124&lt;=NKC!$N$8,B124&gt;=NKC!$M$8),"x","")</f>
        <v/>
      </c>
      <c r="AA124" s="723"/>
      <c r="AB124" s="497"/>
    </row>
    <row r="125" spans="1:30" s="199" customFormat="1" ht="15.75" hidden="1" customHeight="1">
      <c r="A125" s="724" t="str">
        <f>IF(B125&lt;&gt;"",IF(AND(B125&gt;=_TM1,B125&lt;=_TM2,OR(TH!L125="1111",TH!M125="1111")),TH!D125,""),"")</f>
        <v>T05</v>
      </c>
      <c r="B125" s="36">
        <f t="shared" si="9"/>
        <v>11</v>
      </c>
      <c r="C125" s="185">
        <f t="shared" si="10"/>
        <v>41214</v>
      </c>
      <c r="D125" s="178" t="s">
        <v>527</v>
      </c>
      <c r="E125" s="178">
        <v>41214</v>
      </c>
      <c r="F125" s="183" t="s">
        <v>478</v>
      </c>
      <c r="G125" s="731" t="s">
        <v>374</v>
      </c>
      <c r="H125" s="187" t="s">
        <v>483</v>
      </c>
      <c r="I125" s="247"/>
      <c r="J125" s="247"/>
      <c r="K125" s="505">
        <v>31000000</v>
      </c>
      <c r="L125" s="506" t="s">
        <v>47</v>
      </c>
      <c r="M125" s="506" t="s">
        <v>24</v>
      </c>
      <c r="N125" s="49" t="str">
        <f>IF(AND('331-CT'!$E$7=TH!H125,OR(L125="331",M125="331")),"331",IF(AND(OR(L125="131",M125="131"),H125='131-CT'!$E$7),"131",""))</f>
        <v/>
      </c>
      <c r="O125" s="49" t="str">
        <f>IF(AND($B125&gt;='111'!$N$11,$B125&lt;='111'!$O$11,OR($L125=$O$7,$M125=$O$7)),"x","")</f>
        <v>x</v>
      </c>
      <c r="P125" s="49" t="str">
        <f>IF(AND($L125=$O$7,$B125&lt;'111'!$N$11),"x","")</f>
        <v/>
      </c>
      <c r="Q125" s="49" t="str">
        <f>IF(AND($M125=$O$7,$B125&lt;'111'!$N$11),"x","")</f>
        <v/>
      </c>
      <c r="R125" s="49" t="str">
        <f>IF(ISERROR(FIND('112'!$M$9,G125,1)),"",IF((AND(FIND('112'!$M$9,G125,1)&gt;=1,$B125&gt;='112'!$N$8,$B125&lt;='112'!$O$8,OR($L125='112'!$I$6,$M125='112'!$I$6))),"x",""))</f>
        <v>x</v>
      </c>
      <c r="S125" s="49" t="str">
        <f>IF(ISERROR(FIND('112'!$M$9,G125,1)),"",IF((AND(LEFT(G125,2)=LEFT('112'!$M$9,2),B125&lt;'112'!$N$8,$L125='112'!$I$6)),"x",""))</f>
        <v/>
      </c>
      <c r="T125" s="49" t="str">
        <f>IF(ISERROR(FIND('112'!$M$9,G125,1)),"",IF((AND(RIGHT(G125,2)=RIGHT('112'!$M$9,2),B125&lt;'112'!$N$8,$M125='112'!$I$6)),"x",""))</f>
        <v/>
      </c>
      <c r="U125" s="49" t="str">
        <f>IF(AND(L125="154",'154'!$O$5&lt;=B125,'154'!$P$5&gt;=B125),"154",IF(AND(L125="632",'632'!$L$5&lt;=B125,'632'!$M$5&gt;=B125),"632",IF(AND(L125="642",'642'!$N$5&lt;=B125,'642'!$O$5&gt;=B125),"642",IF(AND(L125="641",'641'!$N$5&lt;=B125,'641'!$O$5&gt;=B125),"641",""))))</f>
        <v/>
      </c>
      <c r="V125" s="49" t="str">
        <f>IF(OR(TH!L125=TH!$V$7,M125=TH!$V$7),"x","")</f>
        <v/>
      </c>
      <c r="W125" s="49" t="str">
        <f>IF(AND(B125&gt;='IN-NX'!$P$3,B125&lt;='IN-NX'!$Q$3,'IN-NX'!$D$7=D125,OR(LEFT(L125,2)="15",AND(LEFT(M125,2)&lt;&gt;"15",LEFT(M125,2)&lt;&gt;"33"))),"x","")</f>
        <v/>
      </c>
      <c r="X125" s="49" t="str">
        <f>IF(AND(OR(LEFT(TH!L125,2)="15",LEFT(TH!M125,2)="15"),'152-CT'!$J$8=TH!F125),"x","")</f>
        <v/>
      </c>
      <c r="Y125" s="49" t="str">
        <f>IF(AND(OR(LEFT(TH!L125,2)="15",LEFT(TH!M125,2)="15"),TK!$E$7=TH!F125),"x","")</f>
        <v/>
      </c>
      <c r="Z125" s="49" t="str">
        <f>IF(AND(B125&lt;=NKC!$N$8,B125&gt;=NKC!$M$8),"x","")</f>
        <v/>
      </c>
      <c r="AA125" s="723"/>
      <c r="AB125" s="497"/>
      <c r="AC125" s="497"/>
      <c r="AD125" s="497"/>
    </row>
    <row r="126" spans="1:30" s="199" customFormat="1" ht="15.75" hidden="1" customHeight="1">
      <c r="A126" s="724" t="str">
        <f>IF(B126&lt;&gt;"",IF(AND(B126&gt;=_TM1,B126&lt;=_TM2,OR(TH!L126="1111",TH!M126="1111")),TH!D126,""),"")</f>
        <v/>
      </c>
      <c r="B126" s="36">
        <f t="shared" si="9"/>
        <v>11</v>
      </c>
      <c r="C126" s="185">
        <f t="shared" si="10"/>
        <v>41214</v>
      </c>
      <c r="D126" s="178" t="s">
        <v>600</v>
      </c>
      <c r="E126" s="185">
        <v>41214</v>
      </c>
      <c r="F126" s="186" t="s">
        <v>559</v>
      </c>
      <c r="G126" s="732" t="s">
        <v>560</v>
      </c>
      <c r="H126" s="187" t="s">
        <v>536</v>
      </c>
      <c r="I126" s="247">
        <v>550</v>
      </c>
      <c r="J126" s="247">
        <v>6125</v>
      </c>
      <c r="K126" s="505">
        <f>ROUND(I126*J126,0)</f>
        <v>3368750</v>
      </c>
      <c r="L126" s="506" t="s">
        <v>252</v>
      </c>
      <c r="M126" s="506" t="s">
        <v>164</v>
      </c>
      <c r="N126" s="49" t="str">
        <f>IF(AND('331-CT'!$E$7=TH!H126,OR(L126="331",M126="331")),"331",IF(AND(OR(L126="131",M126="131"),H126='131-CT'!$E$7),"131",""))</f>
        <v/>
      </c>
      <c r="O126" s="49" t="str">
        <f>IF(AND($B126&gt;='111'!$N$11,$B126&lt;='111'!$O$11,OR($L126=$O$7,$M126=$O$7)),"x","")</f>
        <v/>
      </c>
      <c r="P126" s="49" t="str">
        <f>IF(AND($L126=$O$7,$B126&lt;'111'!$N$11),"x","")</f>
        <v/>
      </c>
      <c r="Q126" s="49" t="str">
        <f>IF(AND($M126=$O$7,$B126&lt;'111'!$N$11),"x","")</f>
        <v/>
      </c>
      <c r="R126" s="49" t="str">
        <f>IF(ISERROR(FIND('112'!$M$9,G126,1)),"",IF((AND(FIND('112'!$M$9,G126,1)&gt;=1,$B126&gt;='112'!$N$8,$B126&lt;='112'!$O$8,OR($L126='112'!$I$6,$M126='112'!$I$6))),"x",""))</f>
        <v/>
      </c>
      <c r="S126" s="49" t="str">
        <f>IF(ISERROR(FIND('112'!$M$9,G126,1)),"",IF((AND(LEFT(G126,2)=LEFT('112'!$M$9,2),B126&lt;'112'!$N$8,$L126='112'!$I$6)),"x",""))</f>
        <v/>
      </c>
      <c r="T126" s="49" t="str">
        <f>IF(ISERROR(FIND('112'!$M$9,G126,1)),"",IF((AND(RIGHT(G126,2)=RIGHT('112'!$M$9,2),B126&lt;'112'!$N$8,$M126='112'!$I$6)),"x",""))</f>
        <v/>
      </c>
      <c r="U126" s="49" t="str">
        <f>IF(AND(L126="154",'154'!$O$5&lt;=B126,'154'!$P$5&gt;=B126),"154",IF(AND(L126="632",'632'!$L$5&lt;=B126,'632'!$M$5&gt;=B126),"632",IF(AND(L126="642",'642'!$N$5&lt;=B126,'642'!$O$5&gt;=B126),"642",IF(AND(L126="641",'641'!$N$5&lt;=B126,'641'!$O$5&gt;=B126),"641",""))))</f>
        <v/>
      </c>
      <c r="V126" s="49" t="str">
        <f>IF(OR(TH!L126=TH!$V$7,M126=TH!$V$7),"x","")</f>
        <v/>
      </c>
      <c r="W126" s="49" t="str">
        <f>IF(AND(B126&gt;='IN-NX'!$P$3,B126&lt;='IN-NX'!$Q$3,'IN-NX'!$D$7=D126,OR(LEFT(L126,2)="15",AND(LEFT(M126,2)&lt;&gt;"15",LEFT(M126,2)&lt;&gt;"33"))),"x","")</f>
        <v/>
      </c>
      <c r="X126" s="49" t="str">
        <f>IF(AND(OR(LEFT(TH!L126,2)="15",LEFT(TH!M126,2)="15"),'152-CT'!$J$8=TH!F126),"x","")</f>
        <v/>
      </c>
      <c r="Y126" s="49" t="str">
        <f>IF(AND(OR(LEFT(TH!L126,2)="15",LEFT(TH!M126,2)="15"),TK!$E$7=TH!F126),"x","")</f>
        <v/>
      </c>
      <c r="Z126" s="49" t="str">
        <f>IF(AND(B126&lt;=NKC!$N$8,B126&gt;=NKC!$M$8),"x","")</f>
        <v/>
      </c>
      <c r="AA126" s="723"/>
      <c r="AB126" s="497"/>
      <c r="AC126" s="497"/>
      <c r="AD126" s="497"/>
    </row>
    <row r="127" spans="1:30" s="199" customFormat="1" ht="15.75" hidden="1" customHeight="1">
      <c r="A127" s="724" t="str">
        <f>IF(B127&lt;&gt;"",IF(AND(B127&gt;=_TM1,B127&lt;=_TM2,OR(TH!L127="1111",TH!M127="1111")),TH!D127,""),"")</f>
        <v/>
      </c>
      <c r="B127" s="36">
        <f t="shared" si="9"/>
        <v>11</v>
      </c>
      <c r="C127" s="185">
        <f t="shared" si="10"/>
        <v>41214</v>
      </c>
      <c r="D127" s="178" t="s">
        <v>600</v>
      </c>
      <c r="E127" s="185">
        <v>41214</v>
      </c>
      <c r="F127" s="186" t="s">
        <v>534</v>
      </c>
      <c r="G127" s="732" t="s">
        <v>560</v>
      </c>
      <c r="H127" s="187" t="s">
        <v>536</v>
      </c>
      <c r="I127" s="247">
        <v>1050</v>
      </c>
      <c r="J127" s="247">
        <v>6760</v>
      </c>
      <c r="K127" s="505">
        <f>ROUND(I127*J127,0)</f>
        <v>7098000</v>
      </c>
      <c r="L127" s="506" t="s">
        <v>252</v>
      </c>
      <c r="M127" s="506" t="s">
        <v>164</v>
      </c>
      <c r="N127" s="49" t="str">
        <f>IF(AND('331-CT'!$E$7=TH!H127,OR(L127="331",M127="331")),"331",IF(AND(OR(L127="131",M127="131"),H127='131-CT'!$E$7),"131",""))</f>
        <v/>
      </c>
      <c r="O127" s="49" t="str">
        <f>IF(AND($B127&gt;='111'!$N$11,$B127&lt;='111'!$O$11,OR($L127=$O$7,$M127=$O$7)),"x","")</f>
        <v/>
      </c>
      <c r="P127" s="49" t="str">
        <f>IF(AND($L127=$O$7,$B127&lt;'111'!$N$11),"x","")</f>
        <v/>
      </c>
      <c r="Q127" s="49" t="str">
        <f>IF(AND($M127=$O$7,$B127&lt;'111'!$N$11),"x","")</f>
        <v/>
      </c>
      <c r="R127" s="49" t="str">
        <f>IF(ISERROR(FIND('112'!$M$9,G127,1)),"",IF((AND(FIND('112'!$M$9,G127,1)&gt;=1,$B127&gt;='112'!$N$8,$B127&lt;='112'!$O$8,OR($L127='112'!$I$6,$M127='112'!$I$6))),"x",""))</f>
        <v/>
      </c>
      <c r="S127" s="49" t="str">
        <f>IF(ISERROR(FIND('112'!$M$9,G127,1)),"",IF((AND(LEFT(G127,2)=LEFT('112'!$M$9,2),B127&lt;'112'!$N$8,$L127='112'!$I$6)),"x",""))</f>
        <v/>
      </c>
      <c r="T127" s="49" t="str">
        <f>IF(ISERROR(FIND('112'!$M$9,G127,1)),"",IF((AND(RIGHT(G127,2)=RIGHT('112'!$M$9,2),B127&lt;'112'!$N$8,$M127='112'!$I$6)),"x",""))</f>
        <v/>
      </c>
      <c r="U127" s="49" t="str">
        <f>IF(AND(L127="154",'154'!$O$5&lt;=B127,'154'!$P$5&gt;=B127),"154",IF(AND(L127="632",'632'!$L$5&lt;=B127,'632'!$M$5&gt;=B127),"632",IF(AND(L127="642",'642'!$N$5&lt;=B127,'642'!$O$5&gt;=B127),"642",IF(AND(L127="641",'641'!$N$5&lt;=B127,'641'!$O$5&gt;=B127),"641",""))))</f>
        <v/>
      </c>
      <c r="V127" s="49" t="str">
        <f>IF(OR(TH!L127=TH!$V$7,M127=TH!$V$7),"x","")</f>
        <v/>
      </c>
      <c r="W127" s="49" t="str">
        <f>IF(AND(B127&gt;='IN-NX'!$P$3,B127&lt;='IN-NX'!$Q$3,'IN-NX'!$D$7=D127,OR(LEFT(L127,2)="15",AND(LEFT(M127,2)&lt;&gt;"15",LEFT(M127,2)&lt;&gt;"33"))),"x","")</f>
        <v/>
      </c>
      <c r="X127" s="49" t="str">
        <f>IF(AND(OR(LEFT(TH!L127,2)="15",LEFT(TH!M127,2)="15"),'152-CT'!$J$8=TH!F127),"x","")</f>
        <v/>
      </c>
      <c r="Y127" s="49" t="str">
        <f>IF(AND(OR(LEFT(TH!L127,2)="15",LEFT(TH!M127,2)="15"),TK!$E$7=TH!F127),"x","")</f>
        <v/>
      </c>
      <c r="Z127" s="49" t="str">
        <f>IF(AND(B127&lt;=NKC!$N$8,B127&gt;=NKC!$M$8),"x","")</f>
        <v/>
      </c>
      <c r="AA127" s="723"/>
      <c r="AB127" s="497"/>
      <c r="AC127" s="497"/>
      <c r="AD127" s="497"/>
    </row>
    <row r="128" spans="1:30" s="199" customFormat="1" ht="15.75" hidden="1" customHeight="1">
      <c r="A128" s="724" t="str">
        <f>IF(B128&lt;&gt;"",IF(AND(B128&gt;=_TM1,B128&lt;=_TM2,OR(TH!L128="1111",TH!M128="1111")),TH!D128,""),"")</f>
        <v/>
      </c>
      <c r="B128" s="36">
        <f t="shared" si="9"/>
        <v>11</v>
      </c>
      <c r="C128" s="185">
        <f t="shared" si="10"/>
        <v>41214</v>
      </c>
      <c r="D128" s="178" t="s">
        <v>600</v>
      </c>
      <c r="E128" s="185">
        <v>41214</v>
      </c>
      <c r="F128" s="186" t="s">
        <v>538</v>
      </c>
      <c r="G128" s="732" t="s">
        <v>560</v>
      </c>
      <c r="H128" s="187" t="s">
        <v>536</v>
      </c>
      <c r="I128" s="247"/>
      <c r="J128" s="247"/>
      <c r="K128" s="505">
        <v>1046675</v>
      </c>
      <c r="L128" s="506" t="s">
        <v>252</v>
      </c>
      <c r="M128" s="506" t="s">
        <v>297</v>
      </c>
      <c r="N128" s="49" t="str">
        <f>IF(AND('331-CT'!$E$7=TH!H128,OR(L128="331",M128="331")),"331",IF(AND(OR(L128="131",M128="131"),H128='131-CT'!$E$7),"131",""))</f>
        <v/>
      </c>
      <c r="O128" s="49" t="str">
        <f>IF(AND($B128&gt;='111'!$N$11,$B128&lt;='111'!$O$11,OR($L128=$O$7,$M128=$O$7)),"x","")</f>
        <v/>
      </c>
      <c r="P128" s="49" t="str">
        <f>IF(AND($L128=$O$7,$B128&lt;'111'!$N$11),"x","")</f>
        <v/>
      </c>
      <c r="Q128" s="49" t="str">
        <f>IF(AND($M128=$O$7,$B128&lt;'111'!$N$11),"x","")</f>
        <v/>
      </c>
      <c r="R128" s="49" t="str">
        <f>IF(ISERROR(FIND('112'!$M$9,G128,1)),"",IF((AND(FIND('112'!$M$9,G128,1)&gt;=1,$B128&gt;='112'!$N$8,$B128&lt;='112'!$O$8,OR($L128='112'!$I$6,$M128='112'!$I$6))),"x",""))</f>
        <v/>
      </c>
      <c r="S128" s="49" t="str">
        <f>IF(ISERROR(FIND('112'!$M$9,G128,1)),"",IF((AND(LEFT(G128,2)=LEFT('112'!$M$9,2),B128&lt;'112'!$N$8,$L128='112'!$I$6)),"x",""))</f>
        <v/>
      </c>
      <c r="T128" s="49" t="str">
        <f>IF(ISERROR(FIND('112'!$M$9,G128,1)),"",IF((AND(RIGHT(G128,2)=RIGHT('112'!$M$9,2),B128&lt;'112'!$N$8,$M128='112'!$I$6)),"x",""))</f>
        <v/>
      </c>
      <c r="U128" s="49" t="str">
        <f>IF(AND(L128="154",'154'!$O$5&lt;=B128,'154'!$P$5&gt;=B128),"154",IF(AND(L128="632",'632'!$L$5&lt;=B128,'632'!$M$5&gt;=B128),"632",IF(AND(L128="642",'642'!$N$5&lt;=B128,'642'!$O$5&gt;=B128),"642",IF(AND(L128="641",'641'!$N$5&lt;=B128,'641'!$O$5&gt;=B128),"641",""))))</f>
        <v/>
      </c>
      <c r="V128" s="49" t="str">
        <f>IF(OR(TH!L128=TH!$V$7,M128=TH!$V$7),"x","")</f>
        <v/>
      </c>
      <c r="W128" s="49" t="str">
        <f>IF(AND(B128&gt;='IN-NX'!$P$3,B128&lt;='IN-NX'!$Q$3,'IN-NX'!$D$7=D128,OR(LEFT(L128,2)="15",AND(LEFT(M128,2)&lt;&gt;"15",LEFT(M128,2)&lt;&gt;"33"))),"x","")</f>
        <v/>
      </c>
      <c r="X128" s="49" t="str">
        <f>IF(AND(OR(LEFT(TH!L128,2)="15",LEFT(TH!M128,2)="15"),'152-CT'!$J$8=TH!F128),"x","")</f>
        <v/>
      </c>
      <c r="Y128" s="49" t="str">
        <f>IF(AND(OR(LEFT(TH!L128,2)="15",LEFT(TH!M128,2)="15"),TK!$E$7=TH!F128),"x","")</f>
        <v/>
      </c>
      <c r="Z128" s="49" t="str">
        <f>IF(AND(B128&lt;=NKC!$N$8,B128&gt;=NKC!$M$8),"x","")</f>
        <v/>
      </c>
      <c r="AA128" s="723"/>
      <c r="AB128" s="497"/>
      <c r="AC128" s="497"/>
      <c r="AD128" s="497"/>
    </row>
    <row r="129" spans="1:30" s="199" customFormat="1" ht="15.75" hidden="1" customHeight="1">
      <c r="A129" s="724" t="str">
        <f>IF(B129&lt;&gt;"",IF(AND(B129&gt;=_TM1,B129&lt;=_TM2,OR(TH!L129="1111",TH!M129="1111")),TH!D129,""),"")</f>
        <v>T06</v>
      </c>
      <c r="B129" s="36">
        <f t="shared" si="9"/>
        <v>11</v>
      </c>
      <c r="C129" s="185">
        <f t="shared" si="10"/>
        <v>41214</v>
      </c>
      <c r="D129" s="178" t="s">
        <v>614</v>
      </c>
      <c r="E129" s="185">
        <v>41214</v>
      </c>
      <c r="F129" s="186" t="s">
        <v>476</v>
      </c>
      <c r="G129" s="732" t="s">
        <v>560</v>
      </c>
      <c r="H129" s="187" t="s">
        <v>536</v>
      </c>
      <c r="I129" s="247"/>
      <c r="J129" s="247"/>
      <c r="K129" s="505">
        <v>11513425</v>
      </c>
      <c r="L129" s="506" t="s">
        <v>47</v>
      </c>
      <c r="M129" s="506" t="s">
        <v>252</v>
      </c>
      <c r="N129" s="49" t="str">
        <f>IF(AND('331-CT'!$E$7=TH!H129,OR(L129="331",M129="331")),"331",IF(AND(OR(L129="131",M129="131"),H129='131-CT'!$E$7),"131",""))</f>
        <v/>
      </c>
      <c r="O129" s="49" t="str">
        <f>IF(AND($B129&gt;='111'!$N$11,$B129&lt;='111'!$O$11,OR($L129=$O$7,$M129=$O$7)),"x","")</f>
        <v>x</v>
      </c>
      <c r="P129" s="49" t="str">
        <f>IF(AND($L129=$O$7,$B129&lt;'111'!$N$11),"x","")</f>
        <v/>
      </c>
      <c r="Q129" s="49" t="str">
        <f>IF(AND($M129=$O$7,$B129&lt;'111'!$N$11),"x","")</f>
        <v/>
      </c>
      <c r="R129" s="49" t="str">
        <f>IF(ISERROR(FIND('112'!$M$9,G129,1)),"",IF((AND(FIND('112'!$M$9,G129,1)&gt;=1,$B129&gt;='112'!$N$8,$B129&lt;='112'!$O$8,OR($L129='112'!$I$6,$M129='112'!$I$6))),"x",""))</f>
        <v/>
      </c>
      <c r="S129" s="49" t="str">
        <f>IF(ISERROR(FIND('112'!$M$9,G129,1)),"",IF((AND(LEFT(G129,2)=LEFT('112'!$M$9,2),B129&lt;'112'!$N$8,$L129='112'!$I$6)),"x",""))</f>
        <v/>
      </c>
      <c r="T129" s="49" t="str">
        <f>IF(ISERROR(FIND('112'!$M$9,G129,1)),"",IF((AND(RIGHT(G129,2)=RIGHT('112'!$M$9,2),B129&lt;'112'!$N$8,$M129='112'!$I$6)),"x",""))</f>
        <v/>
      </c>
      <c r="U129" s="49" t="str">
        <f>IF(AND(L129="154",'154'!$O$5&lt;=B129,'154'!$P$5&gt;=B129),"154",IF(AND(L129="632",'632'!$L$5&lt;=B129,'632'!$M$5&gt;=B129),"632",IF(AND(L129="642",'642'!$N$5&lt;=B129,'642'!$O$5&gt;=B129),"642",IF(AND(L129="641",'641'!$N$5&lt;=B129,'641'!$O$5&gt;=B129),"641",""))))</f>
        <v/>
      </c>
      <c r="V129" s="49" t="str">
        <f>IF(OR(TH!L129=TH!$V$7,M129=TH!$V$7),"x","")</f>
        <v/>
      </c>
      <c r="W129" s="49" t="str">
        <f>IF(AND(B129&gt;='IN-NX'!$P$3,B129&lt;='IN-NX'!$Q$3,'IN-NX'!$D$7=D129,OR(LEFT(L129,2)="15",AND(LEFT(M129,2)&lt;&gt;"15",LEFT(M129,2)&lt;&gt;"33"))),"x","")</f>
        <v/>
      </c>
      <c r="X129" s="49" t="str">
        <f>IF(AND(OR(LEFT(TH!L129,2)="15",LEFT(TH!M129,2)="15"),'152-CT'!$J$8=TH!F129),"x","")</f>
        <v/>
      </c>
      <c r="Y129" s="49" t="str">
        <f>IF(AND(OR(LEFT(TH!L129,2)="15",LEFT(TH!M129,2)="15"),TK!$E$7=TH!F129),"x","")</f>
        <v/>
      </c>
      <c r="Z129" s="49" t="str">
        <f>IF(AND(B129&lt;=NKC!$N$8,B129&gt;=NKC!$M$8),"x","")</f>
        <v/>
      </c>
      <c r="AA129" s="723"/>
      <c r="AB129" s="497"/>
      <c r="AC129" s="497"/>
      <c r="AD129" s="497"/>
    </row>
    <row r="130" spans="1:30" s="199" customFormat="1" ht="15.75" hidden="1" customHeight="1">
      <c r="A130" s="724" t="str">
        <f>IF(B130&lt;&gt;"",IF(AND(B130&gt;=_TM1,B130&lt;=_TM2,OR(TH!L130="1111",TH!M130="1111")),TH!D130,""),"")</f>
        <v/>
      </c>
      <c r="B130" s="36">
        <f t="shared" si="9"/>
        <v>11</v>
      </c>
      <c r="C130" s="185">
        <f t="shared" si="10"/>
        <v>41215</v>
      </c>
      <c r="D130" s="185" t="s">
        <v>504</v>
      </c>
      <c r="E130" s="178">
        <v>41215</v>
      </c>
      <c r="F130" s="183" t="s">
        <v>426</v>
      </c>
      <c r="G130" s="731" t="s">
        <v>446</v>
      </c>
      <c r="H130" s="7" t="s">
        <v>390</v>
      </c>
      <c r="I130" s="247">
        <v>1000</v>
      </c>
      <c r="J130" s="247">
        <v>12750</v>
      </c>
      <c r="K130" s="37">
        <f>ROUND(I130*J130,0)</f>
        <v>12750000</v>
      </c>
      <c r="L130" s="188" t="s">
        <v>375</v>
      </c>
      <c r="M130" s="188" t="s">
        <v>8</v>
      </c>
      <c r="N130" s="49" t="str">
        <f>IF(AND('331-CT'!$E$7=TH!H130,OR(L130="331",M130="331")),"331",IF(AND(OR(L130="131",M130="131"),H130='131-CT'!$E$7),"131",""))</f>
        <v>331</v>
      </c>
      <c r="O130" s="49" t="str">
        <f>IF(AND($B130&gt;='111'!$N$11,$B130&lt;='111'!$O$11,OR($L130=$O$7,$M130=$O$7)),"x","")</f>
        <v/>
      </c>
      <c r="P130" s="49" t="str">
        <f>IF(AND($L130=$O$7,$B130&lt;'111'!$N$11),"x","")</f>
        <v/>
      </c>
      <c r="Q130" s="49" t="str">
        <f>IF(AND($M130=$O$7,$B130&lt;'111'!$N$11),"x","")</f>
        <v/>
      </c>
      <c r="R130" s="49" t="str">
        <f>IF(ISERROR(FIND('112'!$M$9,G130,1)),"",IF((AND(FIND('112'!$M$9,G130,1)&gt;=1,$B130&gt;='112'!$N$8,$B130&lt;='112'!$O$8,OR($L130='112'!$I$6,$M130='112'!$I$6))),"x",""))</f>
        <v/>
      </c>
      <c r="S130" s="49" t="str">
        <f>IF(ISERROR(FIND('112'!$M$9,G130,1)),"",IF((AND(LEFT(G130,2)=LEFT('112'!$M$9,2),B130&lt;'112'!$N$8,$L130='112'!$I$6)),"x",""))</f>
        <v/>
      </c>
      <c r="T130" s="49" t="str">
        <f>IF(ISERROR(FIND('112'!$M$9,G130,1)),"",IF((AND(RIGHT(G130,2)=RIGHT('112'!$M$9,2),B130&lt;'112'!$N$8,$M130='112'!$I$6)),"x",""))</f>
        <v/>
      </c>
      <c r="U130" s="49" t="str">
        <f>IF(AND(L130="154",'154'!$O$5&lt;=B130,'154'!$P$5&gt;=B130),"154",IF(AND(L130="632",'632'!$L$5&lt;=B130,'632'!$M$5&gt;=B130),"632",IF(AND(L130="642",'642'!$N$5&lt;=B130,'642'!$O$5&gt;=B130),"642",IF(AND(L130="641",'641'!$N$5&lt;=B130,'641'!$O$5&gt;=B130),"641",""))))</f>
        <v/>
      </c>
      <c r="V130" s="49" t="str">
        <f>IF(OR(TH!L130=TH!$V$7,M130=TH!$V$7),"x","")</f>
        <v/>
      </c>
      <c r="W130" s="49" t="str">
        <f>IF(AND(B130&gt;='IN-NX'!$P$3,B130&lt;='IN-NX'!$Q$3,'IN-NX'!$D$7=D130,OR(LEFT(L130,2)="15",AND(LEFT(M130,2)&lt;&gt;"15",LEFT(M130,2)&lt;&gt;"33"))),"x","")</f>
        <v/>
      </c>
      <c r="X130" s="49" t="str">
        <f>IF(AND(OR(LEFT(TH!L130,2)="15",LEFT(TH!M130,2)="15"),'152-CT'!$J$8=TH!F130),"x","")</f>
        <v/>
      </c>
      <c r="Y130" s="49" t="str">
        <f>IF(AND(OR(LEFT(TH!L130,2)="15",LEFT(TH!M130,2)="15"),TK!$E$7=TH!F130),"x","")</f>
        <v/>
      </c>
      <c r="Z130" s="49" t="str">
        <f>IF(AND(B130&lt;=NKC!$N$8,B130&gt;=NKC!$M$8),"x","")</f>
        <v/>
      </c>
      <c r="AA130" s="723"/>
    </row>
    <row r="131" spans="1:30" s="199" customFormat="1" ht="15.75" customHeight="1">
      <c r="A131" s="724" t="str">
        <f>IF(B131&lt;&gt;"",IF(AND(B131&gt;=_TM1,B131&lt;=_TM2,OR(TH!L131="1111",TH!M131="1111")),TH!D131,""),"")</f>
        <v/>
      </c>
      <c r="B131" s="36">
        <f t="shared" si="9"/>
        <v>11</v>
      </c>
      <c r="C131" s="185">
        <f t="shared" si="10"/>
        <v>41215</v>
      </c>
      <c r="D131" s="185" t="s">
        <v>504</v>
      </c>
      <c r="E131" s="178">
        <v>41215</v>
      </c>
      <c r="F131" s="183" t="s">
        <v>392</v>
      </c>
      <c r="G131" s="731" t="s">
        <v>446</v>
      </c>
      <c r="H131" s="7" t="s">
        <v>390</v>
      </c>
      <c r="I131" s="247"/>
      <c r="J131" s="247"/>
      <c r="K131" s="37">
        <v>1275000</v>
      </c>
      <c r="L131" s="188" t="s">
        <v>9</v>
      </c>
      <c r="M131" s="188" t="s">
        <v>8</v>
      </c>
      <c r="N131" s="49" t="str">
        <f>IF(AND('331-CT'!$E$7=TH!H131,OR(L131="331",M131="331")),"331",IF(AND(OR(L131="131",M131="131"),H131='131-CT'!$E$7),"131",""))</f>
        <v>331</v>
      </c>
      <c r="O131" s="49" t="str">
        <f>IF(AND($B131&gt;='111'!$N$11,$B131&lt;='111'!$O$11,OR($L131=$O$7,$M131=$O$7)),"x","")</f>
        <v/>
      </c>
      <c r="P131" s="49" t="str">
        <f>IF(AND($L131=$O$7,$B131&lt;'111'!$N$11),"x","")</f>
        <v/>
      </c>
      <c r="Q131" s="49" t="str">
        <f>IF(AND($M131=$O$7,$B131&lt;'111'!$N$11),"x","")</f>
        <v/>
      </c>
      <c r="R131" s="49" t="str">
        <f>IF(ISERROR(FIND('112'!$M$9,G131,1)),"",IF((AND(FIND('112'!$M$9,G131,1)&gt;=1,$B131&gt;='112'!$N$8,$B131&lt;='112'!$O$8,OR($L131='112'!$I$6,$M131='112'!$I$6))),"x",""))</f>
        <v/>
      </c>
      <c r="S131" s="49" t="str">
        <f>IF(ISERROR(FIND('112'!$M$9,G131,1)),"",IF((AND(LEFT(G131,2)=LEFT('112'!$M$9,2),B131&lt;'112'!$N$8,$L131='112'!$I$6)),"x",""))</f>
        <v/>
      </c>
      <c r="T131" s="49" t="str">
        <f>IF(ISERROR(FIND('112'!$M$9,G131,1)),"",IF((AND(RIGHT(G131,2)=RIGHT('112'!$M$9,2),B131&lt;'112'!$N$8,$M131='112'!$I$6)),"x",""))</f>
        <v/>
      </c>
      <c r="U131" s="49" t="str">
        <f>IF(AND(L131="154",'154'!$O$5&lt;=B131,'154'!$P$5&gt;=B131),"154",IF(AND(L131="632",'632'!$L$5&lt;=B131,'632'!$M$5&gt;=B131),"632",IF(AND(L131="642",'642'!$N$5&lt;=B131,'642'!$O$5&gt;=B131),"642",IF(AND(L131="641",'641'!$N$5&lt;=B131,'641'!$O$5&gt;=B131),"641",""))))</f>
        <v/>
      </c>
      <c r="V131" s="49" t="str">
        <f>IF(OR(TH!L131=TH!$V$7,M131=TH!$V$7),"x","")</f>
        <v>x</v>
      </c>
      <c r="W131" s="49" t="str">
        <f>IF(AND(B131&gt;='IN-NX'!$P$3,B131&lt;='IN-NX'!$Q$3,'IN-NX'!$D$7=D131,OR(LEFT(L131,2)="15",AND(LEFT(M131,2)&lt;&gt;"15",LEFT(M131,2)&lt;&gt;"33"))),"x","")</f>
        <v/>
      </c>
      <c r="X131" s="49" t="str">
        <f>IF(AND(OR(LEFT(TH!L131,2)="15",LEFT(TH!M131,2)="15"),'152-CT'!$J$8=TH!F131),"x","")</f>
        <v/>
      </c>
      <c r="Y131" s="49" t="str">
        <f>IF(AND(OR(LEFT(TH!L131,2)="15",LEFT(TH!M131,2)="15"),TK!$E$7=TH!F131),"x","")</f>
        <v/>
      </c>
      <c r="Z131" s="49" t="str">
        <f>IF(AND(B131&lt;=NKC!$N$8,B131&gt;=NKC!$M$8),"x","")</f>
        <v/>
      </c>
      <c r="AA131" s="723"/>
    </row>
    <row r="132" spans="1:30" s="199" customFormat="1" ht="15.75" hidden="1" customHeight="1">
      <c r="A132" s="724" t="str">
        <f>IF(B132&lt;&gt;"",IF(AND(B132&gt;=_TM1,B132&lt;=_TM2,OR(TH!L132="1111",TH!M132="1111")),TH!D132,""),"")</f>
        <v>C10</v>
      </c>
      <c r="B132" s="36">
        <f t="shared" si="9"/>
        <v>11</v>
      </c>
      <c r="C132" s="185">
        <f t="shared" si="10"/>
        <v>41215</v>
      </c>
      <c r="D132" s="185" t="s">
        <v>496</v>
      </c>
      <c r="E132" s="178">
        <v>41215</v>
      </c>
      <c r="F132" s="183" t="s">
        <v>486</v>
      </c>
      <c r="G132" s="731" t="s">
        <v>446</v>
      </c>
      <c r="H132" s="7" t="s">
        <v>390</v>
      </c>
      <c r="I132" s="247"/>
      <c r="J132" s="247"/>
      <c r="K132" s="37">
        <v>14025000</v>
      </c>
      <c r="L132" s="188" t="s">
        <v>8</v>
      </c>
      <c r="M132" s="188" t="s">
        <v>47</v>
      </c>
      <c r="N132" s="49" t="str">
        <f>IF(AND('331-CT'!$E$7=TH!H132,OR(L132="331",M132="331")),"331",IF(AND(OR(L132="131",M132="131"),H132='131-CT'!$E$7),"131",""))</f>
        <v>331</v>
      </c>
      <c r="O132" s="49" t="str">
        <f>IF(AND($B132&gt;='111'!$N$11,$B132&lt;='111'!$O$11,OR($L132=$O$7,$M132=$O$7)),"x","")</f>
        <v>x</v>
      </c>
      <c r="P132" s="49" t="str">
        <f>IF(AND($L132=$O$7,$B132&lt;'111'!$N$11),"x","")</f>
        <v/>
      </c>
      <c r="Q132" s="49" t="str">
        <f>IF(AND($M132=$O$7,$B132&lt;'111'!$N$11),"x","")</f>
        <v/>
      </c>
      <c r="R132" s="49" t="str">
        <f>IF(ISERROR(FIND('112'!$M$9,G132,1)),"",IF((AND(FIND('112'!$M$9,G132,1)&gt;=1,$B132&gt;='112'!$N$8,$B132&lt;='112'!$O$8,OR($L132='112'!$I$6,$M132='112'!$I$6))),"x",""))</f>
        <v/>
      </c>
      <c r="S132" s="49" t="str">
        <f>IF(ISERROR(FIND('112'!$M$9,G132,1)),"",IF((AND(LEFT(G132,2)=LEFT('112'!$M$9,2),B132&lt;'112'!$N$8,$L132='112'!$I$6)),"x",""))</f>
        <v/>
      </c>
      <c r="T132" s="49" t="str">
        <f>IF(ISERROR(FIND('112'!$M$9,G132,1)),"",IF((AND(RIGHT(G132,2)=RIGHT('112'!$M$9,2),B132&lt;'112'!$N$8,$M132='112'!$I$6)),"x",""))</f>
        <v/>
      </c>
      <c r="U132" s="49" t="str">
        <f>IF(AND(L132="154",'154'!$O$5&lt;=B132,'154'!$P$5&gt;=B132),"154",IF(AND(L132="632",'632'!$L$5&lt;=B132,'632'!$M$5&gt;=B132),"632",IF(AND(L132="642",'642'!$N$5&lt;=B132,'642'!$O$5&gt;=B132),"642",IF(AND(L132="641",'641'!$N$5&lt;=B132,'641'!$O$5&gt;=B132),"641",""))))</f>
        <v/>
      </c>
      <c r="V132" s="49" t="str">
        <f>IF(OR(TH!L132=TH!$V$7,M132=TH!$V$7),"x","")</f>
        <v/>
      </c>
      <c r="W132" s="49" t="str">
        <f>IF(AND(B132&gt;='IN-NX'!$P$3,B132&lt;='IN-NX'!$Q$3,'IN-NX'!$D$7=D132,OR(LEFT(L132,2)="15",AND(LEFT(M132,2)&lt;&gt;"15",LEFT(M132,2)&lt;&gt;"33"))),"x","")</f>
        <v/>
      </c>
      <c r="X132" s="49" t="str">
        <f>IF(AND(OR(LEFT(TH!L132,2)="15",LEFT(TH!M132,2)="15"),'152-CT'!$J$8=TH!F132),"x","")</f>
        <v/>
      </c>
      <c r="Y132" s="49" t="str">
        <f>IF(AND(OR(LEFT(TH!L132,2)="15",LEFT(TH!M132,2)="15"),TK!$E$7=TH!F132),"x","")</f>
        <v/>
      </c>
      <c r="Z132" s="49" t="str">
        <f>IF(AND(B132&lt;=NKC!$N$8,B132&gt;=NKC!$M$8),"x","")</f>
        <v/>
      </c>
      <c r="AA132" s="723"/>
      <c r="AB132" s="497"/>
    </row>
    <row r="133" spans="1:30" s="199" customFormat="1" ht="15.75" hidden="1" customHeight="1">
      <c r="A133" s="724" t="str">
        <f>IF(B133&lt;&gt;"",IF(AND(B133&gt;=_TM1,B133&lt;=_TM2,OR(TH!L133="1111",TH!M133="1111")),TH!D133,""),"")</f>
        <v/>
      </c>
      <c r="B133" s="36">
        <f t="shared" si="9"/>
        <v>11</v>
      </c>
      <c r="C133" s="185">
        <f t="shared" si="10"/>
        <v>41215</v>
      </c>
      <c r="D133" s="185" t="s">
        <v>505</v>
      </c>
      <c r="E133" s="178">
        <v>41215</v>
      </c>
      <c r="F133" s="183" t="s">
        <v>399</v>
      </c>
      <c r="G133" s="731" t="s">
        <v>447</v>
      </c>
      <c r="H133" s="7" t="s">
        <v>390</v>
      </c>
      <c r="I133" s="247">
        <v>500</v>
      </c>
      <c r="J133" s="247">
        <v>10298</v>
      </c>
      <c r="K133" s="37">
        <f>ROUND(I133*J133,0)</f>
        <v>5149000</v>
      </c>
      <c r="L133" s="188" t="s">
        <v>375</v>
      </c>
      <c r="M133" s="188" t="s">
        <v>8</v>
      </c>
      <c r="N133" s="49" t="str">
        <f>IF(AND('331-CT'!$E$7=TH!H133,OR(L133="331",M133="331")),"331",IF(AND(OR(L133="131",M133="131"),H133='131-CT'!$E$7),"131",""))</f>
        <v>331</v>
      </c>
      <c r="O133" s="49" t="str">
        <f>IF(AND($B133&gt;='111'!$N$11,$B133&lt;='111'!$O$11,OR($L133=$O$7,$M133=$O$7)),"x","")</f>
        <v/>
      </c>
      <c r="P133" s="49" t="str">
        <f>IF(AND($L133=$O$7,$B133&lt;'111'!$N$11),"x","")</f>
        <v/>
      </c>
      <c r="Q133" s="49" t="str">
        <f>IF(AND($M133=$O$7,$B133&lt;'111'!$N$11),"x","")</f>
        <v/>
      </c>
      <c r="R133" s="49" t="str">
        <f>IF(ISERROR(FIND('112'!$M$9,G133,1)),"",IF((AND(FIND('112'!$M$9,G133,1)&gt;=1,$B133&gt;='112'!$N$8,$B133&lt;='112'!$O$8,OR($L133='112'!$I$6,$M133='112'!$I$6))),"x",""))</f>
        <v/>
      </c>
      <c r="S133" s="49" t="str">
        <f>IF(ISERROR(FIND('112'!$M$9,G133,1)),"",IF((AND(LEFT(G133,2)=LEFT('112'!$M$9,2),B133&lt;'112'!$N$8,$L133='112'!$I$6)),"x",""))</f>
        <v/>
      </c>
      <c r="T133" s="49" t="str">
        <f>IF(ISERROR(FIND('112'!$M$9,G133,1)),"",IF((AND(RIGHT(G133,2)=RIGHT('112'!$M$9,2),B133&lt;'112'!$N$8,$M133='112'!$I$6)),"x",""))</f>
        <v/>
      </c>
      <c r="U133" s="49" t="str">
        <f>IF(AND(L133="154",'154'!$O$5&lt;=B133,'154'!$P$5&gt;=B133),"154",IF(AND(L133="632",'632'!$L$5&lt;=B133,'632'!$M$5&gt;=B133),"632",IF(AND(L133="642",'642'!$N$5&lt;=B133,'642'!$O$5&gt;=B133),"642",IF(AND(L133="641",'641'!$N$5&lt;=B133,'641'!$O$5&gt;=B133),"641",""))))</f>
        <v/>
      </c>
      <c r="V133" s="49" t="str">
        <f>IF(OR(TH!L133=TH!$V$7,M133=TH!$V$7),"x","")</f>
        <v/>
      </c>
      <c r="W133" s="49" t="str">
        <f>IF(AND(B133&gt;='IN-NX'!$P$3,B133&lt;='IN-NX'!$Q$3,'IN-NX'!$D$7=D133,OR(LEFT(L133,2)="15",AND(LEFT(M133,2)&lt;&gt;"15",LEFT(M133,2)&lt;&gt;"33"))),"x","")</f>
        <v/>
      </c>
      <c r="X133" s="49" t="str">
        <f>IF(AND(OR(LEFT(TH!L133,2)="15",LEFT(TH!M133,2)="15"),'152-CT'!$J$8=TH!F133),"x","")</f>
        <v/>
      </c>
      <c r="Y133" s="49" t="str">
        <f>IF(AND(OR(LEFT(TH!L133,2)="15",LEFT(TH!M133,2)="15"),TK!$E$7=TH!F133),"x","")</f>
        <v/>
      </c>
      <c r="Z133" s="49" t="str">
        <f>IF(AND(B133&lt;=NKC!$N$8,B133&gt;=NKC!$M$8),"x","")</f>
        <v/>
      </c>
      <c r="AA133" s="723"/>
    </row>
    <row r="134" spans="1:30" s="199" customFormat="1" ht="15.75" customHeight="1">
      <c r="A134" s="724" t="str">
        <f>IF(B134&lt;&gt;"",IF(AND(B134&gt;=_TM1,B134&lt;=_TM2,OR(TH!L134="1111",TH!M134="1111")),TH!D134,""),"")</f>
        <v/>
      </c>
      <c r="B134" s="36">
        <f t="shared" si="9"/>
        <v>11</v>
      </c>
      <c r="C134" s="185">
        <f t="shared" si="10"/>
        <v>41215</v>
      </c>
      <c r="D134" s="185" t="s">
        <v>505</v>
      </c>
      <c r="E134" s="178">
        <v>41215</v>
      </c>
      <c r="F134" s="183" t="s">
        <v>392</v>
      </c>
      <c r="G134" s="731" t="s">
        <v>447</v>
      </c>
      <c r="H134" s="7" t="s">
        <v>390</v>
      </c>
      <c r="I134" s="247"/>
      <c r="J134" s="247"/>
      <c r="K134" s="37">
        <v>514900</v>
      </c>
      <c r="L134" s="188" t="s">
        <v>9</v>
      </c>
      <c r="M134" s="188" t="s">
        <v>8</v>
      </c>
      <c r="N134" s="49" t="str">
        <f>IF(AND('331-CT'!$E$7=TH!H134,OR(L134="331",M134="331")),"331",IF(AND(OR(L134="131",M134="131"),H134='131-CT'!$E$7),"131",""))</f>
        <v>331</v>
      </c>
      <c r="O134" s="49" t="str">
        <f>IF(AND($B134&gt;='111'!$N$11,$B134&lt;='111'!$O$11,OR($L134=$O$7,$M134=$O$7)),"x","")</f>
        <v/>
      </c>
      <c r="P134" s="49" t="str">
        <f>IF(AND($L134=$O$7,$B134&lt;'111'!$N$11),"x","")</f>
        <v/>
      </c>
      <c r="Q134" s="49" t="str">
        <f>IF(AND($M134=$O$7,$B134&lt;'111'!$N$11),"x","")</f>
        <v/>
      </c>
      <c r="R134" s="49" t="str">
        <f>IF(ISERROR(FIND('112'!$M$9,G134,1)),"",IF((AND(FIND('112'!$M$9,G134,1)&gt;=1,$B134&gt;='112'!$N$8,$B134&lt;='112'!$O$8,OR($L134='112'!$I$6,$M134='112'!$I$6))),"x",""))</f>
        <v/>
      </c>
      <c r="S134" s="49" t="str">
        <f>IF(ISERROR(FIND('112'!$M$9,G134,1)),"",IF((AND(LEFT(G134,2)=LEFT('112'!$M$9,2),B134&lt;'112'!$N$8,$L134='112'!$I$6)),"x",""))</f>
        <v/>
      </c>
      <c r="T134" s="49" t="str">
        <f>IF(ISERROR(FIND('112'!$M$9,G134,1)),"",IF((AND(RIGHT(G134,2)=RIGHT('112'!$M$9,2),B134&lt;'112'!$N$8,$M134='112'!$I$6)),"x",""))</f>
        <v/>
      </c>
      <c r="U134" s="49" t="str">
        <f>IF(AND(L134="154",'154'!$O$5&lt;=B134,'154'!$P$5&gt;=B134),"154",IF(AND(L134="632",'632'!$L$5&lt;=B134,'632'!$M$5&gt;=B134),"632",IF(AND(L134="642",'642'!$N$5&lt;=B134,'642'!$O$5&gt;=B134),"642",IF(AND(L134="641",'641'!$N$5&lt;=B134,'641'!$O$5&gt;=B134),"641",""))))</f>
        <v/>
      </c>
      <c r="V134" s="49" t="str">
        <f>IF(OR(TH!L134=TH!$V$7,M134=TH!$V$7),"x","")</f>
        <v>x</v>
      </c>
      <c r="W134" s="49" t="str">
        <f>IF(AND(B134&gt;='IN-NX'!$P$3,B134&lt;='IN-NX'!$Q$3,'IN-NX'!$D$7=D134,OR(LEFT(L134,2)="15",AND(LEFT(M134,2)&lt;&gt;"15",LEFT(M134,2)&lt;&gt;"33"))),"x","")</f>
        <v/>
      </c>
      <c r="X134" s="49" t="str">
        <f>IF(AND(OR(LEFT(TH!L134,2)="15",LEFT(TH!M134,2)="15"),'152-CT'!$J$8=TH!F134),"x","")</f>
        <v/>
      </c>
      <c r="Y134" s="49" t="str">
        <f>IF(AND(OR(LEFT(TH!L134,2)="15",LEFT(TH!M134,2)="15"),TK!$E$7=TH!F134),"x","")</f>
        <v/>
      </c>
      <c r="Z134" s="49" t="str">
        <f>IF(AND(B134&lt;=NKC!$N$8,B134&gt;=NKC!$M$8),"x","")</f>
        <v/>
      </c>
      <c r="AA134" s="723"/>
    </row>
    <row r="135" spans="1:30" s="497" customFormat="1" ht="15.75" hidden="1" customHeight="1">
      <c r="A135" s="724" t="str">
        <f>IF(B135&lt;&gt;"",IF(AND(B135&gt;=_TM1,B135&lt;=_TM2,OR(TH!L135="1111",TH!M135="1111")),TH!D135,""),"")</f>
        <v>C11</v>
      </c>
      <c r="B135" s="36">
        <f t="shared" si="9"/>
        <v>11</v>
      </c>
      <c r="C135" s="185">
        <f t="shared" si="10"/>
        <v>41215</v>
      </c>
      <c r="D135" s="185" t="s">
        <v>497</v>
      </c>
      <c r="E135" s="178">
        <v>41215</v>
      </c>
      <c r="F135" s="183" t="s">
        <v>486</v>
      </c>
      <c r="G135" s="731" t="s">
        <v>447</v>
      </c>
      <c r="H135" s="7" t="s">
        <v>390</v>
      </c>
      <c r="I135" s="247"/>
      <c r="J135" s="247"/>
      <c r="K135" s="37">
        <v>5663900</v>
      </c>
      <c r="L135" s="188" t="s">
        <v>8</v>
      </c>
      <c r="M135" s="188" t="s">
        <v>47</v>
      </c>
      <c r="N135" s="49" t="str">
        <f>IF(AND('331-CT'!$E$7=TH!H135,OR(L135="331",M135="331")),"331",IF(AND(OR(L135="131",M135="131"),H135='131-CT'!$E$7),"131",""))</f>
        <v>331</v>
      </c>
      <c r="O135" s="49" t="str">
        <f>IF(AND($B135&gt;='111'!$N$11,$B135&lt;='111'!$O$11,OR($L135=$O$7,$M135=$O$7)),"x","")</f>
        <v>x</v>
      </c>
      <c r="P135" s="49" t="str">
        <f>IF(AND($L135=$O$7,$B135&lt;'111'!$N$11),"x","")</f>
        <v/>
      </c>
      <c r="Q135" s="49" t="str">
        <f>IF(AND($M135=$O$7,$B135&lt;'111'!$N$11),"x","")</f>
        <v/>
      </c>
      <c r="R135" s="49" t="str">
        <f>IF(ISERROR(FIND('112'!$M$9,G135,1)),"",IF((AND(FIND('112'!$M$9,G135,1)&gt;=1,$B135&gt;='112'!$N$8,$B135&lt;='112'!$O$8,OR($L135='112'!$I$6,$M135='112'!$I$6))),"x",""))</f>
        <v/>
      </c>
      <c r="S135" s="49" t="str">
        <f>IF(ISERROR(FIND('112'!$M$9,G135,1)),"",IF((AND(LEFT(G135,2)=LEFT('112'!$M$9,2),B135&lt;'112'!$N$8,$L135='112'!$I$6)),"x",""))</f>
        <v/>
      </c>
      <c r="T135" s="49" t="str">
        <f>IF(ISERROR(FIND('112'!$M$9,G135,1)),"",IF((AND(RIGHT(G135,2)=RIGHT('112'!$M$9,2),B135&lt;'112'!$N$8,$M135='112'!$I$6)),"x",""))</f>
        <v/>
      </c>
      <c r="U135" s="49" t="str">
        <f>IF(AND(L135="154",'154'!$O$5&lt;=B135,'154'!$P$5&gt;=B135),"154",IF(AND(L135="632",'632'!$L$5&lt;=B135,'632'!$M$5&gt;=B135),"632",IF(AND(L135="642",'642'!$N$5&lt;=B135,'642'!$O$5&gt;=B135),"642",IF(AND(L135="641",'641'!$N$5&lt;=B135,'641'!$O$5&gt;=B135),"641",""))))</f>
        <v/>
      </c>
      <c r="V135" s="49" t="str">
        <f>IF(OR(TH!L135=TH!$V$7,M135=TH!$V$7),"x","")</f>
        <v/>
      </c>
      <c r="W135" s="49" t="str">
        <f>IF(AND(B135&gt;='IN-NX'!$P$3,B135&lt;='IN-NX'!$Q$3,'IN-NX'!$D$7=D135,OR(LEFT(L135,2)="15",AND(LEFT(M135,2)&lt;&gt;"15",LEFT(M135,2)&lt;&gt;"33"))),"x","")</f>
        <v/>
      </c>
      <c r="X135" s="49" t="str">
        <f>IF(AND(OR(LEFT(TH!L135,2)="15",LEFT(TH!M135,2)="15"),'152-CT'!$J$8=TH!F135),"x","")</f>
        <v/>
      </c>
      <c r="Y135" s="49" t="str">
        <f>IF(AND(OR(LEFT(TH!L135,2)="15",LEFT(TH!M135,2)="15"),TK!$E$7=TH!F135),"x","")</f>
        <v/>
      </c>
      <c r="Z135" s="49" t="str">
        <f>IF(AND(B135&lt;=NKC!$N$8,B135&gt;=NKC!$M$8),"x","")</f>
        <v/>
      </c>
      <c r="AA135" s="723"/>
      <c r="AC135" s="199"/>
      <c r="AD135" s="199"/>
    </row>
    <row r="136" spans="1:30" s="497" customFormat="1" ht="15.75" hidden="1" customHeight="1">
      <c r="A136" s="724" t="str">
        <f>IF(B136&lt;&gt;"",IF(AND(B136&gt;=_TM1,B136&lt;=_TM2,OR(TH!L136="1111",TH!M136="1111")),TH!D136,""),"")</f>
        <v/>
      </c>
      <c r="B136" s="36">
        <f t="shared" si="9"/>
        <v>11</v>
      </c>
      <c r="C136" s="185">
        <f t="shared" si="10"/>
        <v>41215</v>
      </c>
      <c r="D136" s="178" t="s">
        <v>601</v>
      </c>
      <c r="E136" s="185">
        <v>41215</v>
      </c>
      <c r="F136" s="186" t="s">
        <v>537</v>
      </c>
      <c r="G136" s="732" t="s">
        <v>561</v>
      </c>
      <c r="H136" s="187" t="s">
        <v>536</v>
      </c>
      <c r="I136" s="247">
        <v>11050</v>
      </c>
      <c r="J136" s="247">
        <v>900</v>
      </c>
      <c r="K136" s="505">
        <f>ROUND(I136*J136,0)</f>
        <v>9945000</v>
      </c>
      <c r="L136" s="506" t="s">
        <v>252</v>
      </c>
      <c r="M136" s="506" t="s">
        <v>164</v>
      </c>
      <c r="N136" s="49" t="str">
        <f>IF(AND('331-CT'!$E$7=TH!H136,OR(L136="331",M136="331")),"331",IF(AND(OR(L136="131",M136="131"),H136='131-CT'!$E$7),"131",""))</f>
        <v/>
      </c>
      <c r="O136" s="49" t="str">
        <f>IF(AND($B136&gt;='111'!$N$11,$B136&lt;='111'!$O$11,OR($L136=$O$7,$M136=$O$7)),"x","")</f>
        <v/>
      </c>
      <c r="P136" s="49" t="str">
        <f>IF(AND($L136=$O$7,$B136&lt;'111'!$N$11),"x","")</f>
        <v/>
      </c>
      <c r="Q136" s="49" t="str">
        <f>IF(AND($M136=$O$7,$B136&lt;'111'!$N$11),"x","")</f>
        <v/>
      </c>
      <c r="R136" s="49" t="str">
        <f>IF(ISERROR(FIND('112'!$M$9,G136,1)),"",IF((AND(FIND('112'!$M$9,G136,1)&gt;=1,$B136&gt;='112'!$N$8,$B136&lt;='112'!$O$8,OR($L136='112'!$I$6,$M136='112'!$I$6))),"x",""))</f>
        <v/>
      </c>
      <c r="S136" s="49" t="str">
        <f>IF(ISERROR(FIND('112'!$M$9,G136,1)),"",IF((AND(LEFT(G136,2)=LEFT('112'!$M$9,2),B136&lt;'112'!$N$8,$L136='112'!$I$6)),"x",""))</f>
        <v/>
      </c>
      <c r="T136" s="49" t="str">
        <f>IF(ISERROR(FIND('112'!$M$9,G136,1)),"",IF((AND(RIGHT(G136,2)=RIGHT('112'!$M$9,2),B136&lt;'112'!$N$8,$M136='112'!$I$6)),"x",""))</f>
        <v/>
      </c>
      <c r="U136" s="49" t="str">
        <f>IF(AND(L136="154",'154'!$O$5&lt;=B136,'154'!$P$5&gt;=B136),"154",IF(AND(L136="632",'632'!$L$5&lt;=B136,'632'!$M$5&gt;=B136),"632",IF(AND(L136="642",'642'!$N$5&lt;=B136,'642'!$O$5&gt;=B136),"642",IF(AND(L136="641",'641'!$N$5&lt;=B136,'641'!$O$5&gt;=B136),"641",""))))</f>
        <v/>
      </c>
      <c r="V136" s="49" t="str">
        <f>IF(OR(TH!L136=TH!$V$7,M136=TH!$V$7),"x","")</f>
        <v/>
      </c>
      <c r="W136" s="49" t="str">
        <f>IF(AND(B136&gt;='IN-NX'!$P$3,B136&lt;='IN-NX'!$Q$3,'IN-NX'!$D$7=D136,OR(LEFT(L136,2)="15",AND(LEFT(M136,2)&lt;&gt;"15",LEFT(M136,2)&lt;&gt;"33"))),"x","")</f>
        <v/>
      </c>
      <c r="X136" s="49" t="str">
        <f>IF(AND(OR(LEFT(TH!L136,2)="15",LEFT(TH!M136,2)="15"),'152-CT'!$J$8=TH!F136),"x","")</f>
        <v/>
      </c>
      <c r="Y136" s="49" t="str">
        <f>IF(AND(OR(LEFT(TH!L136,2)="15",LEFT(TH!M136,2)="15"),TK!$E$7=TH!F136),"x","")</f>
        <v/>
      </c>
      <c r="Z136" s="49" t="str">
        <f>IF(AND(B136&lt;=NKC!$N$8,B136&gt;=NKC!$M$8),"x","")</f>
        <v/>
      </c>
      <c r="AA136" s="723"/>
    </row>
    <row r="137" spans="1:30" s="497" customFormat="1" ht="15.75" hidden="1" customHeight="1">
      <c r="A137" s="724" t="str">
        <f>IF(B137&lt;&gt;"",IF(AND(B137&gt;=_TM1,B137&lt;=_TM2,OR(TH!L137="1111",TH!M137="1111")),TH!D137,""),"")</f>
        <v/>
      </c>
      <c r="B137" s="36">
        <f t="shared" si="9"/>
        <v>11</v>
      </c>
      <c r="C137" s="185">
        <f t="shared" si="10"/>
        <v>41215</v>
      </c>
      <c r="D137" s="178" t="s">
        <v>601</v>
      </c>
      <c r="E137" s="185">
        <v>41215</v>
      </c>
      <c r="F137" s="186" t="s">
        <v>538</v>
      </c>
      <c r="G137" s="732" t="s">
        <v>561</v>
      </c>
      <c r="H137" s="187" t="s">
        <v>536</v>
      </c>
      <c r="I137" s="247"/>
      <c r="J137" s="247"/>
      <c r="K137" s="505">
        <v>994500</v>
      </c>
      <c r="L137" s="506" t="s">
        <v>252</v>
      </c>
      <c r="M137" s="506" t="s">
        <v>297</v>
      </c>
      <c r="N137" s="49" t="str">
        <f>IF(AND('331-CT'!$E$7=TH!H137,OR(L137="331",M137="331")),"331",IF(AND(OR(L137="131",M137="131"),H137='131-CT'!$E$7),"131",""))</f>
        <v/>
      </c>
      <c r="O137" s="49" t="str">
        <f>IF(AND($B137&gt;='111'!$N$11,$B137&lt;='111'!$O$11,OR($L137=$O$7,$M137=$O$7)),"x","")</f>
        <v/>
      </c>
      <c r="P137" s="49" t="str">
        <f>IF(AND($L137=$O$7,$B137&lt;'111'!$N$11),"x","")</f>
        <v/>
      </c>
      <c r="Q137" s="49" t="str">
        <f>IF(AND($M137=$O$7,$B137&lt;'111'!$N$11),"x","")</f>
        <v/>
      </c>
      <c r="R137" s="49" t="str">
        <f>IF(ISERROR(FIND('112'!$M$9,G137,1)),"",IF((AND(FIND('112'!$M$9,G137,1)&gt;=1,$B137&gt;='112'!$N$8,$B137&lt;='112'!$O$8,OR($L137='112'!$I$6,$M137='112'!$I$6))),"x",""))</f>
        <v/>
      </c>
      <c r="S137" s="49" t="str">
        <f>IF(ISERROR(FIND('112'!$M$9,G137,1)),"",IF((AND(LEFT(G137,2)=LEFT('112'!$M$9,2),B137&lt;'112'!$N$8,$L137='112'!$I$6)),"x",""))</f>
        <v/>
      </c>
      <c r="T137" s="49" t="str">
        <f>IF(ISERROR(FIND('112'!$M$9,G137,1)),"",IF((AND(RIGHT(G137,2)=RIGHT('112'!$M$9,2),B137&lt;'112'!$N$8,$M137='112'!$I$6)),"x",""))</f>
        <v/>
      </c>
      <c r="U137" s="49" t="str">
        <f>IF(AND(L137="154",'154'!$O$5&lt;=B137,'154'!$P$5&gt;=B137),"154",IF(AND(L137="632",'632'!$L$5&lt;=B137,'632'!$M$5&gt;=B137),"632",IF(AND(L137="642",'642'!$N$5&lt;=B137,'642'!$O$5&gt;=B137),"642",IF(AND(L137="641",'641'!$N$5&lt;=B137,'641'!$O$5&gt;=B137),"641",""))))</f>
        <v/>
      </c>
      <c r="V137" s="49" t="str">
        <f>IF(OR(TH!L137=TH!$V$7,M137=TH!$V$7),"x","")</f>
        <v/>
      </c>
      <c r="W137" s="49" t="str">
        <f>IF(AND(B137&gt;='IN-NX'!$P$3,B137&lt;='IN-NX'!$Q$3,'IN-NX'!$D$7=D137,OR(LEFT(L137,2)="15",AND(LEFT(M137,2)&lt;&gt;"15",LEFT(M137,2)&lt;&gt;"33"))),"x","")</f>
        <v/>
      </c>
      <c r="X137" s="49" t="str">
        <f>IF(AND(OR(LEFT(TH!L137,2)="15",LEFT(TH!M137,2)="15"),'152-CT'!$J$8=TH!F137),"x","")</f>
        <v/>
      </c>
      <c r="Y137" s="49" t="str">
        <f>IF(AND(OR(LEFT(TH!L137,2)="15",LEFT(TH!M137,2)="15"),TK!$E$7=TH!F137),"x","")</f>
        <v/>
      </c>
      <c r="Z137" s="49" t="str">
        <f>IF(AND(B137&lt;=NKC!$N$8,B137&gt;=NKC!$M$8),"x","")</f>
        <v/>
      </c>
      <c r="AA137" s="723"/>
    </row>
    <row r="138" spans="1:30" s="199" customFormat="1" ht="15.75" hidden="1" customHeight="1">
      <c r="A138" s="724" t="str">
        <f>IF(B138&lt;&gt;"",IF(AND(B138&gt;=_TM1,B138&lt;=_TM2,OR(TH!L138="1111",TH!M138="1111")),TH!D138,""),"")</f>
        <v>T07</v>
      </c>
      <c r="B138" s="36">
        <f t="shared" si="9"/>
        <v>11</v>
      </c>
      <c r="C138" s="185">
        <f t="shared" si="10"/>
        <v>41215</v>
      </c>
      <c r="D138" s="178" t="s">
        <v>615</v>
      </c>
      <c r="E138" s="185">
        <v>41215</v>
      </c>
      <c r="F138" s="186" t="s">
        <v>476</v>
      </c>
      <c r="G138" s="732" t="s">
        <v>561</v>
      </c>
      <c r="H138" s="187" t="s">
        <v>536</v>
      </c>
      <c r="I138" s="247"/>
      <c r="J138" s="247"/>
      <c r="K138" s="505">
        <v>10939500</v>
      </c>
      <c r="L138" s="506" t="s">
        <v>47</v>
      </c>
      <c r="M138" s="506" t="s">
        <v>252</v>
      </c>
      <c r="N138" s="49" t="str">
        <f>IF(AND('331-CT'!$E$7=TH!H138,OR(L138="331",M138="331")),"331",IF(AND(OR(L138="131",M138="131"),H138='131-CT'!$E$7),"131",""))</f>
        <v/>
      </c>
      <c r="O138" s="49" t="str">
        <f>IF(AND($B138&gt;='111'!$N$11,$B138&lt;='111'!$O$11,OR($L138=$O$7,$M138=$O$7)),"x","")</f>
        <v>x</v>
      </c>
      <c r="P138" s="49" t="str">
        <f>IF(AND($L138=$O$7,$B138&lt;'111'!$N$11),"x","")</f>
        <v/>
      </c>
      <c r="Q138" s="49" t="str">
        <f>IF(AND($M138=$O$7,$B138&lt;'111'!$N$11),"x","")</f>
        <v/>
      </c>
      <c r="R138" s="49" t="str">
        <f>IF(ISERROR(FIND('112'!$M$9,G138,1)),"",IF((AND(FIND('112'!$M$9,G138,1)&gt;=1,$B138&gt;='112'!$N$8,$B138&lt;='112'!$O$8,OR($L138='112'!$I$6,$M138='112'!$I$6))),"x",""))</f>
        <v/>
      </c>
      <c r="S138" s="49" t="str">
        <f>IF(ISERROR(FIND('112'!$M$9,G138,1)),"",IF((AND(LEFT(G138,2)=LEFT('112'!$M$9,2),B138&lt;'112'!$N$8,$L138='112'!$I$6)),"x",""))</f>
        <v/>
      </c>
      <c r="T138" s="49" t="str">
        <f>IF(ISERROR(FIND('112'!$M$9,G138,1)),"",IF((AND(RIGHT(G138,2)=RIGHT('112'!$M$9,2),B138&lt;'112'!$N$8,$M138='112'!$I$6)),"x",""))</f>
        <v/>
      </c>
      <c r="U138" s="49" t="str">
        <f>IF(AND(L138="154",'154'!$O$5&lt;=B138,'154'!$P$5&gt;=B138),"154",IF(AND(L138="632",'632'!$L$5&lt;=B138,'632'!$M$5&gt;=B138),"632",IF(AND(L138="642",'642'!$N$5&lt;=B138,'642'!$O$5&gt;=B138),"642",IF(AND(L138="641",'641'!$N$5&lt;=B138,'641'!$O$5&gt;=B138),"641",""))))</f>
        <v/>
      </c>
      <c r="V138" s="49" t="str">
        <f>IF(OR(TH!L138=TH!$V$7,M138=TH!$V$7),"x","")</f>
        <v/>
      </c>
      <c r="W138" s="49" t="str">
        <f>IF(AND(B138&gt;='IN-NX'!$P$3,B138&lt;='IN-NX'!$Q$3,'IN-NX'!$D$7=D138,OR(LEFT(L138,2)="15",AND(LEFT(M138,2)&lt;&gt;"15",LEFT(M138,2)&lt;&gt;"33"))),"x","")</f>
        <v/>
      </c>
      <c r="X138" s="49" t="str">
        <f>IF(AND(OR(LEFT(TH!L138,2)="15",LEFT(TH!M138,2)="15"),'152-CT'!$J$8=TH!F138),"x","")</f>
        <v/>
      </c>
      <c r="Y138" s="49" t="str">
        <f>IF(AND(OR(LEFT(TH!L138,2)="15",LEFT(TH!M138,2)="15"),TK!$E$7=TH!F138),"x","")</f>
        <v/>
      </c>
      <c r="Z138" s="49" t="str">
        <f>IF(AND(B138&lt;=NKC!$N$8,B138&gt;=NKC!$M$8),"x","")</f>
        <v/>
      </c>
      <c r="AA138" s="723"/>
      <c r="AB138" s="497"/>
      <c r="AC138" s="497"/>
      <c r="AD138" s="497"/>
    </row>
    <row r="139" spans="1:30" s="199" customFormat="1" ht="15.75" hidden="1" customHeight="1">
      <c r="A139" s="724" t="str">
        <f>IF(B139&lt;&gt;"",IF(AND(B139&gt;=_TM1,B139&lt;=_TM2,OR(TH!L139="1111",TH!M139="1111")),TH!D139,""),"")</f>
        <v/>
      </c>
      <c r="B139" s="36">
        <f t="shared" si="9"/>
        <v>11</v>
      </c>
      <c r="C139" s="185">
        <f t="shared" si="10"/>
        <v>41219</v>
      </c>
      <c r="D139" s="178" t="s">
        <v>602</v>
      </c>
      <c r="E139" s="185">
        <v>41219</v>
      </c>
      <c r="F139" s="186" t="s">
        <v>562</v>
      </c>
      <c r="G139" s="732" t="s">
        <v>563</v>
      </c>
      <c r="H139" s="187" t="s">
        <v>564</v>
      </c>
      <c r="I139" s="247">
        <v>500</v>
      </c>
      <c r="J139" s="247">
        <v>11450</v>
      </c>
      <c r="K139" s="505">
        <f>ROUND(I139*J139,0)</f>
        <v>5725000</v>
      </c>
      <c r="L139" s="506" t="s">
        <v>252</v>
      </c>
      <c r="M139" s="506" t="s">
        <v>164</v>
      </c>
      <c r="N139" s="49" t="str">
        <f>IF(AND('331-CT'!$E$7=TH!H139,OR(L139="331",M139="331")),"331",IF(AND(OR(L139="131",M139="131"),H139='131-CT'!$E$7),"131",""))</f>
        <v/>
      </c>
      <c r="O139" s="49" t="str">
        <f>IF(AND($B139&gt;='111'!$N$11,$B139&lt;='111'!$O$11,OR($L139=$O$7,$M139=$O$7)),"x","")</f>
        <v/>
      </c>
      <c r="P139" s="49" t="str">
        <f>IF(AND($L139=$O$7,$B139&lt;'111'!$N$11),"x","")</f>
        <v/>
      </c>
      <c r="Q139" s="49" t="str">
        <f>IF(AND($M139=$O$7,$B139&lt;'111'!$N$11),"x","")</f>
        <v/>
      </c>
      <c r="R139" s="49" t="str">
        <f>IF(ISERROR(FIND('112'!$M$9,G139,1)),"",IF((AND(FIND('112'!$M$9,G139,1)&gt;=1,$B139&gt;='112'!$N$8,$B139&lt;='112'!$O$8,OR($L139='112'!$I$6,$M139='112'!$I$6))),"x",""))</f>
        <v/>
      </c>
      <c r="S139" s="49" t="str">
        <f>IF(ISERROR(FIND('112'!$M$9,G139,1)),"",IF((AND(LEFT(G139,2)=LEFT('112'!$M$9,2),B139&lt;'112'!$N$8,$L139='112'!$I$6)),"x",""))</f>
        <v/>
      </c>
      <c r="T139" s="49" t="str">
        <f>IF(ISERROR(FIND('112'!$M$9,G139,1)),"",IF((AND(RIGHT(G139,2)=RIGHT('112'!$M$9,2),B139&lt;'112'!$N$8,$M139='112'!$I$6)),"x",""))</f>
        <v/>
      </c>
      <c r="U139" s="49" t="str">
        <f>IF(AND(L139="154",'154'!$O$5&lt;=B139,'154'!$P$5&gt;=B139),"154",IF(AND(L139="632",'632'!$L$5&lt;=B139,'632'!$M$5&gt;=B139),"632",IF(AND(L139="642",'642'!$N$5&lt;=B139,'642'!$O$5&gt;=B139),"642",IF(AND(L139="641",'641'!$N$5&lt;=B139,'641'!$O$5&gt;=B139),"641",""))))</f>
        <v/>
      </c>
      <c r="V139" s="49" t="str">
        <f>IF(OR(TH!L139=TH!$V$7,M139=TH!$V$7),"x","")</f>
        <v/>
      </c>
      <c r="W139" s="49" t="str">
        <f>IF(AND(B139&gt;='IN-NX'!$P$3,B139&lt;='IN-NX'!$Q$3,'IN-NX'!$D$7=D139,OR(LEFT(L139,2)="15",AND(LEFT(M139,2)&lt;&gt;"15",LEFT(M139,2)&lt;&gt;"33"))),"x","")</f>
        <v/>
      </c>
      <c r="X139" s="49" t="str">
        <f>IF(AND(OR(LEFT(TH!L139,2)="15",LEFT(TH!M139,2)="15"),'152-CT'!$J$8=TH!F139),"x","")</f>
        <v/>
      </c>
      <c r="Y139" s="49" t="str">
        <f>IF(AND(OR(LEFT(TH!L139,2)="15",LEFT(TH!M139,2)="15"),TK!$E$7=TH!F139),"x","")</f>
        <v/>
      </c>
      <c r="Z139" s="49" t="str">
        <f>IF(AND(B139&lt;=NKC!$N$8,B139&gt;=NKC!$M$8),"x","")</f>
        <v/>
      </c>
      <c r="AA139" s="723"/>
      <c r="AB139" s="497"/>
    </row>
    <row r="140" spans="1:30" s="497" customFormat="1" ht="15.75" hidden="1" customHeight="1">
      <c r="A140" s="724" t="str">
        <f>IF(B140&lt;&gt;"",IF(AND(B140&gt;=_TM1,B140&lt;=_TM2,OR(TH!L140="1111",TH!M140="1111")),TH!D140,""),"")</f>
        <v/>
      </c>
      <c r="B140" s="36">
        <f t="shared" si="9"/>
        <v>11</v>
      </c>
      <c r="C140" s="185">
        <f t="shared" si="10"/>
        <v>41219</v>
      </c>
      <c r="D140" s="178" t="s">
        <v>602</v>
      </c>
      <c r="E140" s="185">
        <v>41219</v>
      </c>
      <c r="F140" s="186" t="s">
        <v>538</v>
      </c>
      <c r="G140" s="732" t="s">
        <v>563</v>
      </c>
      <c r="H140" s="187" t="s">
        <v>564</v>
      </c>
      <c r="I140" s="247"/>
      <c r="J140" s="247"/>
      <c r="K140" s="505">
        <v>572500</v>
      </c>
      <c r="L140" s="506" t="s">
        <v>252</v>
      </c>
      <c r="M140" s="506" t="s">
        <v>297</v>
      </c>
      <c r="N140" s="49" t="str">
        <f>IF(AND('331-CT'!$E$7=TH!H140,OR(L140="331",M140="331")),"331",IF(AND(OR(L140="131",M140="131"),H140='131-CT'!$E$7),"131",""))</f>
        <v/>
      </c>
      <c r="O140" s="49" t="str">
        <f>IF(AND($B140&gt;='111'!$N$11,$B140&lt;='111'!$O$11,OR($L140=$O$7,$M140=$O$7)),"x","")</f>
        <v/>
      </c>
      <c r="P140" s="49" t="str">
        <f>IF(AND($L140=$O$7,$B140&lt;'111'!$N$11),"x","")</f>
        <v/>
      </c>
      <c r="Q140" s="49" t="str">
        <f>IF(AND($M140=$O$7,$B140&lt;'111'!$N$11),"x","")</f>
        <v/>
      </c>
      <c r="R140" s="49" t="str">
        <f>IF(ISERROR(FIND('112'!$M$9,G140,1)),"",IF((AND(FIND('112'!$M$9,G140,1)&gt;=1,$B140&gt;='112'!$N$8,$B140&lt;='112'!$O$8,OR($L140='112'!$I$6,$M140='112'!$I$6))),"x",""))</f>
        <v/>
      </c>
      <c r="S140" s="49" t="str">
        <f>IF(ISERROR(FIND('112'!$M$9,G140,1)),"",IF((AND(LEFT(G140,2)=LEFT('112'!$M$9,2),B140&lt;'112'!$N$8,$L140='112'!$I$6)),"x",""))</f>
        <v/>
      </c>
      <c r="T140" s="49" t="str">
        <f>IF(ISERROR(FIND('112'!$M$9,G140,1)),"",IF((AND(RIGHT(G140,2)=RIGHT('112'!$M$9,2),B140&lt;'112'!$N$8,$M140='112'!$I$6)),"x",""))</f>
        <v/>
      </c>
      <c r="U140" s="49" t="str">
        <f>IF(AND(L140="154",'154'!$O$5&lt;=B140,'154'!$P$5&gt;=B140),"154",IF(AND(L140="632",'632'!$L$5&lt;=B140,'632'!$M$5&gt;=B140),"632",IF(AND(L140="642",'642'!$N$5&lt;=B140,'642'!$O$5&gt;=B140),"642",IF(AND(L140="641",'641'!$N$5&lt;=B140,'641'!$O$5&gt;=B140),"641",""))))</f>
        <v/>
      </c>
      <c r="V140" s="49" t="str">
        <f>IF(OR(TH!L140=TH!$V$7,M140=TH!$V$7),"x","")</f>
        <v/>
      </c>
      <c r="W140" s="49" t="str">
        <f>IF(AND(B140&gt;='IN-NX'!$P$3,B140&lt;='IN-NX'!$Q$3,'IN-NX'!$D$7=D140,OR(LEFT(L140,2)="15",AND(LEFT(M140,2)&lt;&gt;"15",LEFT(M140,2)&lt;&gt;"33"))),"x","")</f>
        <v/>
      </c>
      <c r="X140" s="49" t="str">
        <f>IF(AND(OR(LEFT(TH!L140,2)="15",LEFT(TH!M140,2)="15"),'152-CT'!$J$8=TH!F140),"x","")</f>
        <v/>
      </c>
      <c r="Y140" s="49" t="str">
        <f>IF(AND(OR(LEFT(TH!L140,2)="15",LEFT(TH!M140,2)="15"),TK!$E$7=TH!F140),"x","")</f>
        <v/>
      </c>
      <c r="Z140" s="49" t="str">
        <f>IF(AND(B140&lt;=NKC!$N$8,B140&gt;=NKC!$M$8),"x","")</f>
        <v/>
      </c>
      <c r="AA140" s="723"/>
      <c r="AC140" s="199"/>
      <c r="AD140" s="199"/>
    </row>
    <row r="141" spans="1:30" s="497" customFormat="1" ht="15.75" hidden="1" customHeight="1">
      <c r="A141" s="724" t="str">
        <f>IF(B141&lt;&gt;"",IF(AND(B141&gt;=_TM1,B141&lt;=_TM2,OR(TH!L141="1111",TH!M141="1111")),TH!D141,""),"")</f>
        <v>T08</v>
      </c>
      <c r="B141" s="36">
        <f t="shared" si="9"/>
        <v>11</v>
      </c>
      <c r="C141" s="185">
        <f t="shared" si="10"/>
        <v>41219</v>
      </c>
      <c r="D141" s="178" t="s">
        <v>616</v>
      </c>
      <c r="E141" s="185">
        <v>41219</v>
      </c>
      <c r="F141" s="186" t="s">
        <v>476</v>
      </c>
      <c r="G141" s="732" t="s">
        <v>563</v>
      </c>
      <c r="H141" s="187" t="s">
        <v>564</v>
      </c>
      <c r="I141" s="247"/>
      <c r="J141" s="247"/>
      <c r="K141" s="505">
        <v>6297500</v>
      </c>
      <c r="L141" s="506" t="s">
        <v>47</v>
      </c>
      <c r="M141" s="506" t="s">
        <v>252</v>
      </c>
      <c r="N141" s="49" t="str">
        <f>IF(AND('331-CT'!$E$7=TH!H141,OR(L141="331",M141="331")),"331",IF(AND(OR(L141="131",M141="131"),H141='131-CT'!$E$7),"131",""))</f>
        <v/>
      </c>
      <c r="O141" s="49" t="str">
        <f>IF(AND($B141&gt;='111'!$N$11,$B141&lt;='111'!$O$11,OR($L141=$O$7,$M141=$O$7)),"x","")</f>
        <v>x</v>
      </c>
      <c r="P141" s="49" t="str">
        <f>IF(AND($L141=$O$7,$B141&lt;'111'!$N$11),"x","")</f>
        <v/>
      </c>
      <c r="Q141" s="49" t="str">
        <f>IF(AND($M141=$O$7,$B141&lt;'111'!$N$11),"x","")</f>
        <v/>
      </c>
      <c r="R141" s="49" t="str">
        <f>IF(ISERROR(FIND('112'!$M$9,G141,1)),"",IF((AND(FIND('112'!$M$9,G141,1)&gt;=1,$B141&gt;='112'!$N$8,$B141&lt;='112'!$O$8,OR($L141='112'!$I$6,$M141='112'!$I$6))),"x",""))</f>
        <v/>
      </c>
      <c r="S141" s="49" t="str">
        <f>IF(ISERROR(FIND('112'!$M$9,G141,1)),"",IF((AND(LEFT(G141,2)=LEFT('112'!$M$9,2),B141&lt;'112'!$N$8,$L141='112'!$I$6)),"x",""))</f>
        <v/>
      </c>
      <c r="T141" s="49" t="str">
        <f>IF(ISERROR(FIND('112'!$M$9,G141,1)),"",IF((AND(RIGHT(G141,2)=RIGHT('112'!$M$9,2),B141&lt;'112'!$N$8,$M141='112'!$I$6)),"x",""))</f>
        <v/>
      </c>
      <c r="U141" s="49" t="str">
        <f>IF(AND(L141="154",'154'!$O$5&lt;=B141,'154'!$P$5&gt;=B141),"154",IF(AND(L141="632",'632'!$L$5&lt;=B141,'632'!$M$5&gt;=B141),"632",IF(AND(L141="642",'642'!$N$5&lt;=B141,'642'!$O$5&gt;=B141),"642",IF(AND(L141="641",'641'!$N$5&lt;=B141,'641'!$O$5&gt;=B141),"641",""))))</f>
        <v/>
      </c>
      <c r="V141" s="49" t="str">
        <f>IF(OR(TH!L141=TH!$V$7,M141=TH!$V$7),"x","")</f>
        <v/>
      </c>
      <c r="W141" s="49" t="str">
        <f>IF(AND(B141&gt;='IN-NX'!$P$3,B141&lt;='IN-NX'!$Q$3,'IN-NX'!$D$7=D141,OR(LEFT(L141,2)="15",AND(LEFT(M141,2)&lt;&gt;"15",LEFT(M141,2)&lt;&gt;"33"))),"x","")</f>
        <v/>
      </c>
      <c r="X141" s="49" t="str">
        <f>IF(AND(OR(LEFT(TH!L141,2)="15",LEFT(TH!M141,2)="15"),'152-CT'!$J$8=TH!F141),"x","")</f>
        <v/>
      </c>
      <c r="Y141" s="49" t="str">
        <f>IF(AND(OR(LEFT(TH!L141,2)="15",LEFT(TH!M141,2)="15"),TK!$E$7=TH!F141),"x","")</f>
        <v/>
      </c>
      <c r="Z141" s="49" t="str">
        <f>IF(AND(B141&lt;=NKC!$N$8,B141&gt;=NKC!$M$8),"x","")</f>
        <v/>
      </c>
      <c r="AA141" s="723"/>
      <c r="AC141" s="199"/>
      <c r="AD141" s="199"/>
    </row>
    <row r="142" spans="1:30" s="497" customFormat="1" ht="15.75" hidden="1" customHeight="1">
      <c r="A142" s="724" t="str">
        <f>IF(B142&lt;&gt;"",IF(AND(B142&gt;=_TM1,B142&lt;=_TM2,OR(TH!L142="1111",TH!M142="1111")),TH!D142,""),"")</f>
        <v/>
      </c>
      <c r="B142" s="36">
        <f t="shared" si="9"/>
        <v>11</v>
      </c>
      <c r="C142" s="185">
        <f t="shared" si="10"/>
        <v>41220</v>
      </c>
      <c r="D142" s="178" t="s">
        <v>473</v>
      </c>
      <c r="E142" s="178">
        <v>41220</v>
      </c>
      <c r="F142" s="183" t="s">
        <v>476</v>
      </c>
      <c r="G142" s="731" t="s">
        <v>374</v>
      </c>
      <c r="H142" s="187" t="s">
        <v>481</v>
      </c>
      <c r="I142" s="247"/>
      <c r="J142" s="247"/>
      <c r="K142" s="505">
        <v>6956400</v>
      </c>
      <c r="L142" s="506" t="s">
        <v>24</v>
      </c>
      <c r="M142" s="506" t="s">
        <v>252</v>
      </c>
      <c r="N142" s="49" t="str">
        <f>IF(AND('331-CT'!$E$7=TH!H142,OR(L142="331",M142="331")),"331",IF(AND(OR(L142="131",M142="131"),H142='131-CT'!$E$7),"131",""))</f>
        <v/>
      </c>
      <c r="O142" s="49" t="str">
        <f>IF(AND($B142&gt;='111'!$N$11,$B142&lt;='111'!$O$11,OR($L142=$O$7,$M142=$O$7)),"x","")</f>
        <v/>
      </c>
      <c r="P142" s="49" t="str">
        <f>IF(AND($L142=$O$7,$B142&lt;'111'!$N$11),"x","")</f>
        <v/>
      </c>
      <c r="Q142" s="49" t="str">
        <f>IF(AND($M142=$O$7,$B142&lt;'111'!$N$11),"x","")</f>
        <v/>
      </c>
      <c r="R142" s="49" t="str">
        <f>IF(ISERROR(FIND('112'!$M$9,G142,1)),"",IF((AND(FIND('112'!$M$9,G142,1)&gt;=1,$B142&gt;='112'!$N$8,$B142&lt;='112'!$O$8,OR($L142='112'!$I$6,$M142='112'!$I$6))),"x",""))</f>
        <v>x</v>
      </c>
      <c r="S142" s="49" t="str">
        <f>IF(ISERROR(FIND('112'!$M$9,G142,1)),"",IF((AND(LEFT(G142,2)=LEFT('112'!$M$9,2),B142&lt;'112'!$N$8,$L142='112'!$I$6)),"x",""))</f>
        <v/>
      </c>
      <c r="T142" s="49" t="str">
        <f>IF(ISERROR(FIND('112'!$M$9,G142,1)),"",IF((AND(RIGHT(G142,2)=RIGHT('112'!$M$9,2),B142&lt;'112'!$N$8,$M142='112'!$I$6)),"x",""))</f>
        <v/>
      </c>
      <c r="U142" s="49" t="str">
        <f>IF(AND(L142="154",'154'!$O$5&lt;=B142,'154'!$P$5&gt;=B142),"154",IF(AND(L142="632",'632'!$L$5&lt;=B142,'632'!$M$5&gt;=B142),"632",IF(AND(L142="642",'642'!$N$5&lt;=B142,'642'!$O$5&gt;=B142),"642",IF(AND(L142="641",'641'!$N$5&lt;=B142,'641'!$O$5&gt;=B142),"641",""))))</f>
        <v/>
      </c>
      <c r="V142" s="49" t="str">
        <f>IF(OR(TH!L142=TH!$V$7,M142=TH!$V$7),"x","")</f>
        <v/>
      </c>
      <c r="W142" s="49" t="str">
        <f>IF(AND(B142&gt;='IN-NX'!$P$3,B142&lt;='IN-NX'!$Q$3,'IN-NX'!$D$7=D142,OR(LEFT(L142,2)="15",AND(LEFT(M142,2)&lt;&gt;"15",LEFT(M142,2)&lt;&gt;"33"))),"x","")</f>
        <v/>
      </c>
      <c r="X142" s="49" t="str">
        <f>IF(AND(OR(LEFT(TH!L142,2)="15",LEFT(TH!M142,2)="15"),'152-CT'!$J$8=TH!F142),"x","")</f>
        <v/>
      </c>
      <c r="Y142" s="49" t="str">
        <f>IF(AND(OR(LEFT(TH!L142,2)="15",LEFT(TH!M142,2)="15"),TK!$E$7=TH!F142),"x","")</f>
        <v/>
      </c>
      <c r="Z142" s="49" t="str">
        <f>IF(AND(B142&lt;=NKC!$N$8,B142&gt;=NKC!$M$8),"x","")</f>
        <v/>
      </c>
      <c r="AA142" s="723"/>
    </row>
    <row r="143" spans="1:30" s="497" customFormat="1" ht="15.75" hidden="1" customHeight="1">
      <c r="A143" s="724" t="str">
        <f>IF(B143&lt;&gt;"",IF(AND(B143&gt;=_TM1,B143&lt;=_TM2,OR(TH!L143="1111",TH!M143="1111")),TH!D143,""),"")</f>
        <v>C12</v>
      </c>
      <c r="B143" s="36">
        <f t="shared" si="9"/>
        <v>11</v>
      </c>
      <c r="C143" s="185">
        <f t="shared" si="10"/>
        <v>41220</v>
      </c>
      <c r="D143" s="185" t="s">
        <v>506</v>
      </c>
      <c r="E143" s="178">
        <v>41220</v>
      </c>
      <c r="F143" s="186" t="s">
        <v>365</v>
      </c>
      <c r="G143" s="731" t="s">
        <v>444</v>
      </c>
      <c r="H143" s="7" t="s">
        <v>443</v>
      </c>
      <c r="I143" s="247"/>
      <c r="J143" s="247"/>
      <c r="K143" s="37">
        <v>4845455</v>
      </c>
      <c r="L143" s="188" t="s">
        <v>83</v>
      </c>
      <c r="M143" s="188" t="s">
        <v>47</v>
      </c>
      <c r="N143" s="49" t="str">
        <f>IF(AND('331-CT'!$E$7=TH!H143,OR(L143="331",M143="331")),"331",IF(AND(OR(L143="131",M143="131"),H143='131-CT'!$E$7),"131",""))</f>
        <v/>
      </c>
      <c r="O143" s="49" t="str">
        <f>IF(AND($B143&gt;='111'!$N$11,$B143&lt;='111'!$O$11,OR($L143=$O$7,$M143=$O$7)),"x","")</f>
        <v>x</v>
      </c>
      <c r="P143" s="49" t="str">
        <f>IF(AND($L143=$O$7,$B143&lt;'111'!$N$11),"x","")</f>
        <v/>
      </c>
      <c r="Q143" s="49" t="str">
        <f>IF(AND($M143=$O$7,$B143&lt;'111'!$N$11),"x","")</f>
        <v/>
      </c>
      <c r="R143" s="49" t="str">
        <f>IF(ISERROR(FIND('112'!$M$9,G143,1)),"",IF((AND(FIND('112'!$M$9,G143,1)&gt;=1,$B143&gt;='112'!$N$8,$B143&lt;='112'!$O$8,OR($L143='112'!$I$6,$M143='112'!$I$6))),"x",""))</f>
        <v/>
      </c>
      <c r="S143" s="49" t="str">
        <f>IF(ISERROR(FIND('112'!$M$9,G143,1)),"",IF((AND(LEFT(G143,2)=LEFT('112'!$M$9,2),B143&lt;'112'!$N$8,$L143='112'!$I$6)),"x",""))</f>
        <v/>
      </c>
      <c r="T143" s="49" t="str">
        <f>IF(ISERROR(FIND('112'!$M$9,G143,1)),"",IF((AND(RIGHT(G143,2)=RIGHT('112'!$M$9,2),B143&lt;'112'!$N$8,$M143='112'!$I$6)),"x",""))</f>
        <v/>
      </c>
      <c r="U143" s="49" t="str">
        <f>IF(AND(L143="154",'154'!$O$5&lt;=B143,'154'!$P$5&gt;=B143),"154",IF(AND(L143="632",'632'!$L$5&lt;=B143,'632'!$M$5&gt;=B143),"632",IF(AND(L143="642",'642'!$N$5&lt;=B143,'642'!$O$5&gt;=B143),"642",IF(AND(L143="641",'641'!$N$5&lt;=B143,'641'!$O$5&gt;=B143),"641",""))))</f>
        <v/>
      </c>
      <c r="V143" s="49" t="str">
        <f>IF(OR(TH!L143=TH!$V$7,M143=TH!$V$7),"x","")</f>
        <v/>
      </c>
      <c r="W143" s="49" t="str">
        <f>IF(AND(B143&gt;='IN-NX'!$P$3,B143&lt;='IN-NX'!$Q$3,'IN-NX'!$D$7=D143,OR(LEFT(L143,2)="15",AND(LEFT(M143,2)&lt;&gt;"15",LEFT(M143,2)&lt;&gt;"33"))),"x","")</f>
        <v/>
      </c>
      <c r="X143" s="49" t="str">
        <f>IF(AND(OR(LEFT(TH!L143,2)="15",LEFT(TH!M143,2)="15"),'152-CT'!$J$8=TH!F143),"x","")</f>
        <v/>
      </c>
      <c r="Y143" s="49" t="str">
        <f>IF(AND(OR(LEFT(TH!L143,2)="15",LEFT(TH!M143,2)="15"),TK!$E$7=TH!F143),"x","")</f>
        <v/>
      </c>
      <c r="Z143" s="49" t="str">
        <f>IF(AND(B143&lt;=NKC!$N$8,B143&gt;=NKC!$M$8),"x","")</f>
        <v/>
      </c>
      <c r="AA143" s="723"/>
      <c r="AC143" s="199"/>
      <c r="AD143" s="199"/>
    </row>
    <row r="144" spans="1:30" s="497" customFormat="1" ht="15.75" customHeight="1">
      <c r="A144" s="724" t="str">
        <f>IF(B144&lt;&gt;"",IF(AND(B144&gt;=_TM1,B144&lt;=_TM2,OR(TH!L144="1111",TH!M144="1111")),TH!D144,""),"")</f>
        <v>C12</v>
      </c>
      <c r="B144" s="36">
        <f t="shared" si="9"/>
        <v>11</v>
      </c>
      <c r="C144" s="185">
        <f t="shared" si="10"/>
        <v>41220</v>
      </c>
      <c r="D144" s="185" t="s">
        <v>506</v>
      </c>
      <c r="E144" s="178">
        <v>41220</v>
      </c>
      <c r="F144" s="186" t="s">
        <v>366</v>
      </c>
      <c r="G144" s="731" t="s">
        <v>444</v>
      </c>
      <c r="H144" s="7" t="s">
        <v>443</v>
      </c>
      <c r="I144" s="247"/>
      <c r="J144" s="247"/>
      <c r="K144" s="37">
        <v>484545</v>
      </c>
      <c r="L144" s="188" t="s">
        <v>9</v>
      </c>
      <c r="M144" s="188" t="s">
        <v>47</v>
      </c>
      <c r="N144" s="49" t="str">
        <f>IF(AND('331-CT'!$E$7=TH!H144,OR(L144="331",M144="331")),"331",IF(AND(OR(L144="131",M144="131"),H144='131-CT'!$E$7),"131",""))</f>
        <v/>
      </c>
      <c r="O144" s="49" t="str">
        <f>IF(AND($B144&gt;='111'!$N$11,$B144&lt;='111'!$O$11,OR($L144=$O$7,$M144=$O$7)),"x","")</f>
        <v>x</v>
      </c>
      <c r="P144" s="49" t="str">
        <f>IF(AND($L144=$O$7,$B144&lt;'111'!$N$11),"x","")</f>
        <v/>
      </c>
      <c r="Q144" s="49" t="str">
        <f>IF(AND($M144=$O$7,$B144&lt;'111'!$N$11),"x","")</f>
        <v/>
      </c>
      <c r="R144" s="49" t="str">
        <f>IF(ISERROR(FIND('112'!$M$9,G144,1)),"",IF((AND(FIND('112'!$M$9,G144,1)&gt;=1,$B144&gt;='112'!$N$8,$B144&lt;='112'!$O$8,OR($L144='112'!$I$6,$M144='112'!$I$6))),"x",""))</f>
        <v/>
      </c>
      <c r="S144" s="49" t="str">
        <f>IF(ISERROR(FIND('112'!$M$9,G144,1)),"",IF((AND(LEFT(G144,2)=LEFT('112'!$M$9,2),B144&lt;'112'!$N$8,$L144='112'!$I$6)),"x",""))</f>
        <v/>
      </c>
      <c r="T144" s="49" t="str">
        <f>IF(ISERROR(FIND('112'!$M$9,G144,1)),"",IF((AND(RIGHT(G144,2)=RIGHT('112'!$M$9,2),B144&lt;'112'!$N$8,$M144='112'!$I$6)),"x",""))</f>
        <v/>
      </c>
      <c r="U144" s="49" t="str">
        <f>IF(AND(L144="154",'154'!$O$5&lt;=B144,'154'!$P$5&gt;=B144),"154",IF(AND(L144="632",'632'!$L$5&lt;=B144,'632'!$M$5&gt;=B144),"632",IF(AND(L144="642",'642'!$N$5&lt;=B144,'642'!$O$5&gt;=B144),"642",IF(AND(L144="641",'641'!$N$5&lt;=B144,'641'!$O$5&gt;=B144),"641",""))))</f>
        <v/>
      </c>
      <c r="V144" s="49" t="str">
        <f>IF(OR(TH!L144=TH!$V$7,M144=TH!$V$7),"x","")</f>
        <v>x</v>
      </c>
      <c r="W144" s="49" t="str">
        <f>IF(AND(B144&gt;='IN-NX'!$P$3,B144&lt;='IN-NX'!$Q$3,'IN-NX'!$D$7=D144,OR(LEFT(L144,2)="15",AND(LEFT(M144,2)&lt;&gt;"15",LEFT(M144,2)&lt;&gt;"33"))),"x","")</f>
        <v/>
      </c>
      <c r="X144" s="49" t="str">
        <f>IF(AND(OR(LEFT(TH!L144,2)="15",LEFT(TH!M144,2)="15"),'152-CT'!$J$8=TH!F144),"x","")</f>
        <v/>
      </c>
      <c r="Y144" s="49" t="str">
        <f>IF(AND(OR(LEFT(TH!L144,2)="15",LEFT(TH!M144,2)="15"),TK!$E$7=TH!F144),"x","")</f>
        <v/>
      </c>
      <c r="Z144" s="49" t="str">
        <f>IF(AND(B144&lt;=NKC!$N$8,B144&gt;=NKC!$M$8),"x","")</f>
        <v/>
      </c>
      <c r="AA144" s="723"/>
      <c r="AC144" s="199"/>
      <c r="AD144" s="199"/>
    </row>
    <row r="145" spans="1:30" s="497" customFormat="1" ht="15.75" hidden="1" customHeight="1">
      <c r="A145" s="724" t="str">
        <f>IF(B145&lt;&gt;"",IF(AND(B145&gt;=_TM1,B145&lt;=_TM2,OR(TH!L145="1111",TH!M145="1111")),TH!D145,""),"")</f>
        <v/>
      </c>
      <c r="B145" s="36">
        <f t="shared" si="9"/>
        <v>11</v>
      </c>
      <c r="C145" s="185">
        <f t="shared" si="10"/>
        <v>41220</v>
      </c>
      <c r="D145" s="178" t="s">
        <v>603</v>
      </c>
      <c r="E145" s="185">
        <v>41220</v>
      </c>
      <c r="F145" s="186" t="s">
        <v>550</v>
      </c>
      <c r="G145" s="732" t="s">
        <v>565</v>
      </c>
      <c r="H145" s="187" t="s">
        <v>552</v>
      </c>
      <c r="I145" s="247">
        <v>1000</v>
      </c>
      <c r="J145" s="247">
        <v>7660</v>
      </c>
      <c r="K145" s="505">
        <f>ROUND(I145*J145,0)</f>
        <v>7660000</v>
      </c>
      <c r="L145" s="506" t="s">
        <v>252</v>
      </c>
      <c r="M145" s="506" t="s">
        <v>164</v>
      </c>
      <c r="N145" s="49" t="str">
        <f>IF(AND('331-CT'!$E$7=TH!H145,OR(L145="331",M145="331")),"331",IF(AND(OR(L145="131",M145="131"),H145='131-CT'!$E$7),"131",""))</f>
        <v/>
      </c>
      <c r="O145" s="49" t="str">
        <f>IF(AND($B145&gt;='111'!$N$11,$B145&lt;='111'!$O$11,OR($L145=$O$7,$M145=$O$7)),"x","")</f>
        <v/>
      </c>
      <c r="P145" s="49" t="str">
        <f>IF(AND($L145=$O$7,$B145&lt;'111'!$N$11),"x","")</f>
        <v/>
      </c>
      <c r="Q145" s="49" t="str">
        <f>IF(AND($M145=$O$7,$B145&lt;'111'!$N$11),"x","")</f>
        <v/>
      </c>
      <c r="R145" s="49" t="str">
        <f>IF(ISERROR(FIND('112'!$M$9,G145,1)),"",IF((AND(FIND('112'!$M$9,G145,1)&gt;=1,$B145&gt;='112'!$N$8,$B145&lt;='112'!$O$8,OR($L145='112'!$I$6,$M145='112'!$I$6))),"x",""))</f>
        <v/>
      </c>
      <c r="S145" s="49" t="str">
        <f>IF(ISERROR(FIND('112'!$M$9,G145,1)),"",IF((AND(LEFT(G145,2)=LEFT('112'!$M$9,2),B145&lt;'112'!$N$8,$L145='112'!$I$6)),"x",""))</f>
        <v/>
      </c>
      <c r="T145" s="49" t="str">
        <f>IF(ISERROR(FIND('112'!$M$9,G145,1)),"",IF((AND(RIGHT(G145,2)=RIGHT('112'!$M$9,2),B145&lt;'112'!$N$8,$M145='112'!$I$6)),"x",""))</f>
        <v/>
      </c>
      <c r="U145" s="49" t="str">
        <f>IF(AND(L145="154",'154'!$O$5&lt;=B145,'154'!$P$5&gt;=B145),"154",IF(AND(L145="632",'632'!$L$5&lt;=B145,'632'!$M$5&gt;=B145),"632",IF(AND(L145="642",'642'!$N$5&lt;=B145,'642'!$O$5&gt;=B145),"642",IF(AND(L145="641",'641'!$N$5&lt;=B145,'641'!$O$5&gt;=B145),"641",""))))</f>
        <v/>
      </c>
      <c r="V145" s="49" t="str">
        <f>IF(OR(TH!L145=TH!$V$7,M145=TH!$V$7),"x","")</f>
        <v/>
      </c>
      <c r="W145" s="49" t="str">
        <f>IF(AND(B145&gt;='IN-NX'!$P$3,B145&lt;='IN-NX'!$Q$3,'IN-NX'!$D$7=D145,OR(LEFT(L145,2)="15",AND(LEFT(M145,2)&lt;&gt;"15",LEFT(M145,2)&lt;&gt;"33"))),"x","")</f>
        <v/>
      </c>
      <c r="X145" s="49" t="str">
        <f>IF(AND(OR(LEFT(TH!L145,2)="15",LEFT(TH!M145,2)="15"),'152-CT'!$J$8=TH!F145),"x","")</f>
        <v/>
      </c>
      <c r="Y145" s="49" t="str">
        <f>IF(AND(OR(LEFT(TH!L145,2)="15",LEFT(TH!M145,2)="15"),TK!$E$7=TH!F145),"x","")</f>
        <v/>
      </c>
      <c r="Z145" s="49" t="str">
        <f>IF(AND(B145&lt;=NKC!$N$8,B145&gt;=NKC!$M$8),"x","")</f>
        <v/>
      </c>
      <c r="AA145" s="723"/>
      <c r="AC145" s="199"/>
      <c r="AD145" s="199"/>
    </row>
    <row r="146" spans="1:30" s="497" customFormat="1" ht="15.75" hidden="1" customHeight="1">
      <c r="A146" s="724" t="str">
        <f>IF(B146&lt;&gt;"",IF(AND(B146&gt;=_TM1,B146&lt;=_TM2,OR(TH!L146="1111",TH!M146="1111")),TH!D146,""),"")</f>
        <v/>
      </c>
      <c r="B146" s="36">
        <f t="shared" si="9"/>
        <v>11</v>
      </c>
      <c r="C146" s="185">
        <f t="shared" si="10"/>
        <v>41220</v>
      </c>
      <c r="D146" s="178" t="s">
        <v>603</v>
      </c>
      <c r="E146" s="185">
        <v>41220</v>
      </c>
      <c r="F146" s="186" t="s">
        <v>538</v>
      </c>
      <c r="G146" s="732" t="s">
        <v>565</v>
      </c>
      <c r="H146" s="187" t="s">
        <v>552</v>
      </c>
      <c r="I146" s="247"/>
      <c r="J146" s="247"/>
      <c r="K146" s="505">
        <v>766000</v>
      </c>
      <c r="L146" s="506" t="s">
        <v>252</v>
      </c>
      <c r="M146" s="506" t="s">
        <v>297</v>
      </c>
      <c r="N146" s="49" t="str">
        <f>IF(AND('331-CT'!$E$7=TH!H146,OR(L146="331",M146="331")),"331",IF(AND(OR(L146="131",M146="131"),H146='131-CT'!$E$7),"131",""))</f>
        <v/>
      </c>
      <c r="O146" s="49" t="str">
        <f>IF(AND($B146&gt;='111'!$N$11,$B146&lt;='111'!$O$11,OR($L146=$O$7,$M146=$O$7)),"x","")</f>
        <v/>
      </c>
      <c r="P146" s="49" t="str">
        <f>IF(AND($L146=$O$7,$B146&lt;'111'!$N$11),"x","")</f>
        <v/>
      </c>
      <c r="Q146" s="49" t="str">
        <f>IF(AND($M146=$O$7,$B146&lt;'111'!$N$11),"x","")</f>
        <v/>
      </c>
      <c r="R146" s="49" t="str">
        <f>IF(ISERROR(FIND('112'!$M$9,G146,1)),"",IF((AND(FIND('112'!$M$9,G146,1)&gt;=1,$B146&gt;='112'!$N$8,$B146&lt;='112'!$O$8,OR($L146='112'!$I$6,$M146='112'!$I$6))),"x",""))</f>
        <v/>
      </c>
      <c r="S146" s="49" t="str">
        <f>IF(ISERROR(FIND('112'!$M$9,G146,1)),"",IF((AND(LEFT(G146,2)=LEFT('112'!$M$9,2),B146&lt;'112'!$N$8,$L146='112'!$I$6)),"x",""))</f>
        <v/>
      </c>
      <c r="T146" s="49" t="str">
        <f>IF(ISERROR(FIND('112'!$M$9,G146,1)),"",IF((AND(RIGHT(G146,2)=RIGHT('112'!$M$9,2),B146&lt;'112'!$N$8,$M146='112'!$I$6)),"x",""))</f>
        <v/>
      </c>
      <c r="U146" s="49" t="str">
        <f>IF(AND(L146="154",'154'!$O$5&lt;=B146,'154'!$P$5&gt;=B146),"154",IF(AND(L146="632",'632'!$L$5&lt;=B146,'632'!$M$5&gt;=B146),"632",IF(AND(L146="642",'642'!$N$5&lt;=B146,'642'!$O$5&gt;=B146),"642",IF(AND(L146="641",'641'!$N$5&lt;=B146,'641'!$O$5&gt;=B146),"641",""))))</f>
        <v/>
      </c>
      <c r="V146" s="49" t="str">
        <f>IF(OR(TH!L146=TH!$V$7,M146=TH!$V$7),"x","")</f>
        <v/>
      </c>
      <c r="W146" s="49" t="str">
        <f>IF(AND(B146&gt;='IN-NX'!$P$3,B146&lt;='IN-NX'!$Q$3,'IN-NX'!$D$7=D146,OR(LEFT(L146,2)="15",AND(LEFT(M146,2)&lt;&gt;"15",LEFT(M146,2)&lt;&gt;"33"))),"x","")</f>
        <v/>
      </c>
      <c r="X146" s="49" t="str">
        <f>IF(AND(OR(LEFT(TH!L146,2)="15",LEFT(TH!M146,2)="15"),'152-CT'!$J$8=TH!F146),"x","")</f>
        <v/>
      </c>
      <c r="Y146" s="49" t="str">
        <f>IF(AND(OR(LEFT(TH!L146,2)="15",LEFT(TH!M146,2)="15"),TK!$E$7=TH!F146),"x","")</f>
        <v/>
      </c>
      <c r="Z146" s="49" t="str">
        <f>IF(AND(B146&lt;=NKC!$N$8,B146&gt;=NKC!$M$8),"x","")</f>
        <v/>
      </c>
      <c r="AA146" s="723"/>
      <c r="AC146" s="199"/>
      <c r="AD146" s="199"/>
    </row>
    <row r="147" spans="1:30" s="497" customFormat="1" ht="15.75" hidden="1" customHeight="1">
      <c r="A147" s="724" t="str">
        <f>IF(B147&lt;&gt;"",IF(AND(B147&gt;=_TM1,B147&lt;=_TM2,OR(TH!L147="1111",TH!M147="1111")),TH!D147,""),"")</f>
        <v>C13</v>
      </c>
      <c r="B147" s="36">
        <f t="shared" si="9"/>
        <v>11</v>
      </c>
      <c r="C147" s="185">
        <f t="shared" si="10"/>
        <v>41221</v>
      </c>
      <c r="D147" s="185" t="s">
        <v>507</v>
      </c>
      <c r="E147" s="178">
        <v>41221</v>
      </c>
      <c r="F147" s="183" t="s">
        <v>432</v>
      </c>
      <c r="G147" s="731" t="s">
        <v>434</v>
      </c>
      <c r="H147" s="187" t="s">
        <v>431</v>
      </c>
      <c r="I147" s="247"/>
      <c r="J147" s="247"/>
      <c r="K147" s="37">
        <v>4372550</v>
      </c>
      <c r="L147" s="188" t="s">
        <v>83</v>
      </c>
      <c r="M147" s="188" t="s">
        <v>47</v>
      </c>
      <c r="N147" s="49" t="str">
        <f>IF(AND('331-CT'!$E$7=TH!H147,OR(L147="331",M147="331")),"331",IF(AND(OR(L147="131",M147="131"),H147='131-CT'!$E$7),"131",""))</f>
        <v/>
      </c>
      <c r="O147" s="49" t="str">
        <f>IF(AND($B147&gt;='111'!$N$11,$B147&lt;='111'!$O$11,OR($L147=$O$7,$M147=$O$7)),"x","")</f>
        <v>x</v>
      </c>
      <c r="P147" s="49" t="str">
        <f>IF(AND($L147=$O$7,$B147&lt;'111'!$N$11),"x","")</f>
        <v/>
      </c>
      <c r="Q147" s="49" t="str">
        <f>IF(AND($M147=$O$7,$B147&lt;'111'!$N$11),"x","")</f>
        <v/>
      </c>
      <c r="R147" s="49" t="str">
        <f>IF(ISERROR(FIND('112'!$M$9,G147,1)),"",IF((AND(FIND('112'!$M$9,G147,1)&gt;=1,$B147&gt;='112'!$N$8,$B147&lt;='112'!$O$8,OR($L147='112'!$I$6,$M147='112'!$I$6))),"x",""))</f>
        <v/>
      </c>
      <c r="S147" s="49" t="str">
        <f>IF(ISERROR(FIND('112'!$M$9,G147,1)),"",IF((AND(LEFT(G147,2)=LEFT('112'!$M$9,2),B147&lt;'112'!$N$8,$L147='112'!$I$6)),"x",""))</f>
        <v/>
      </c>
      <c r="T147" s="49" t="str">
        <f>IF(ISERROR(FIND('112'!$M$9,G147,1)),"",IF((AND(RIGHT(G147,2)=RIGHT('112'!$M$9,2),B147&lt;'112'!$N$8,$M147='112'!$I$6)),"x",""))</f>
        <v/>
      </c>
      <c r="U147" s="49" t="str">
        <f>IF(AND(L147="154",'154'!$O$5&lt;=B147,'154'!$P$5&gt;=B147),"154",IF(AND(L147="632",'632'!$L$5&lt;=B147,'632'!$M$5&gt;=B147),"632",IF(AND(L147="642",'642'!$N$5&lt;=B147,'642'!$O$5&gt;=B147),"642",IF(AND(L147="641",'641'!$N$5&lt;=B147,'641'!$O$5&gt;=B147),"641",""))))</f>
        <v/>
      </c>
      <c r="V147" s="49" t="str">
        <f>IF(OR(TH!L147=TH!$V$7,M147=TH!$V$7),"x","")</f>
        <v/>
      </c>
      <c r="W147" s="49" t="str">
        <f>IF(AND(B147&gt;='IN-NX'!$P$3,B147&lt;='IN-NX'!$Q$3,'IN-NX'!$D$7=D147,OR(LEFT(L147,2)="15",AND(LEFT(M147,2)&lt;&gt;"15",LEFT(M147,2)&lt;&gt;"33"))),"x","")</f>
        <v/>
      </c>
      <c r="X147" s="49" t="str">
        <f>IF(AND(OR(LEFT(TH!L147,2)="15",LEFT(TH!M147,2)="15"),'152-CT'!$J$8=TH!F147),"x","")</f>
        <v/>
      </c>
      <c r="Y147" s="49" t="str">
        <f>IF(AND(OR(LEFT(TH!L147,2)="15",LEFT(TH!M147,2)="15"),TK!$E$7=TH!F147),"x","")</f>
        <v/>
      </c>
      <c r="Z147" s="49" t="str">
        <f>IF(AND(B147&lt;=NKC!$N$8,B147&gt;=NKC!$M$8),"x","")</f>
        <v/>
      </c>
      <c r="AA147" s="723"/>
      <c r="AC147" s="199"/>
      <c r="AD147" s="199"/>
    </row>
    <row r="148" spans="1:30" s="497" customFormat="1" ht="15.75" customHeight="1">
      <c r="A148" s="724" t="str">
        <f>IF(B148&lt;&gt;"",IF(AND(B148&gt;=_TM1,B148&lt;=_TM2,OR(TH!L148="1111",TH!M148="1111")),TH!D148,""),"")</f>
        <v>C13</v>
      </c>
      <c r="B148" s="36">
        <f t="shared" si="9"/>
        <v>11</v>
      </c>
      <c r="C148" s="185">
        <f t="shared" si="10"/>
        <v>41221</v>
      </c>
      <c r="D148" s="185" t="s">
        <v>507</v>
      </c>
      <c r="E148" s="178">
        <v>41221</v>
      </c>
      <c r="F148" s="183" t="s">
        <v>433</v>
      </c>
      <c r="G148" s="731" t="s">
        <v>434</v>
      </c>
      <c r="H148" s="187" t="s">
        <v>431</v>
      </c>
      <c r="I148" s="247"/>
      <c r="J148" s="247"/>
      <c r="K148" s="37">
        <v>437255</v>
      </c>
      <c r="L148" s="188" t="s">
        <v>9</v>
      </c>
      <c r="M148" s="188" t="s">
        <v>47</v>
      </c>
      <c r="N148" s="49" t="str">
        <f>IF(AND('331-CT'!$E$7=TH!H148,OR(L148="331",M148="331")),"331",IF(AND(OR(L148="131",M148="131"),H148='131-CT'!$E$7),"131",""))</f>
        <v/>
      </c>
      <c r="O148" s="49" t="str">
        <f>IF(AND($B148&gt;='111'!$N$11,$B148&lt;='111'!$O$11,OR($L148=$O$7,$M148=$O$7)),"x","")</f>
        <v>x</v>
      </c>
      <c r="P148" s="49" t="str">
        <f>IF(AND($L148=$O$7,$B148&lt;'111'!$N$11),"x","")</f>
        <v/>
      </c>
      <c r="Q148" s="49" t="str">
        <f>IF(AND($M148=$O$7,$B148&lt;'111'!$N$11),"x","")</f>
        <v/>
      </c>
      <c r="R148" s="49" t="str">
        <f>IF(ISERROR(FIND('112'!$M$9,G148,1)),"",IF((AND(FIND('112'!$M$9,G148,1)&gt;=1,$B148&gt;='112'!$N$8,$B148&lt;='112'!$O$8,OR($L148='112'!$I$6,$M148='112'!$I$6))),"x",""))</f>
        <v/>
      </c>
      <c r="S148" s="49" t="str">
        <f>IF(ISERROR(FIND('112'!$M$9,G148,1)),"",IF((AND(LEFT(G148,2)=LEFT('112'!$M$9,2),B148&lt;'112'!$N$8,$L148='112'!$I$6)),"x",""))</f>
        <v/>
      </c>
      <c r="T148" s="49" t="str">
        <f>IF(ISERROR(FIND('112'!$M$9,G148,1)),"",IF((AND(RIGHT(G148,2)=RIGHT('112'!$M$9,2),B148&lt;'112'!$N$8,$M148='112'!$I$6)),"x",""))</f>
        <v/>
      </c>
      <c r="U148" s="49" t="str">
        <f>IF(AND(L148="154",'154'!$O$5&lt;=B148,'154'!$P$5&gt;=B148),"154",IF(AND(L148="632",'632'!$L$5&lt;=B148,'632'!$M$5&gt;=B148),"632",IF(AND(L148="642",'642'!$N$5&lt;=B148,'642'!$O$5&gt;=B148),"642",IF(AND(L148="641",'641'!$N$5&lt;=B148,'641'!$O$5&gt;=B148),"641",""))))</f>
        <v/>
      </c>
      <c r="V148" s="49" t="str">
        <f>IF(OR(TH!L148=TH!$V$7,M148=TH!$V$7),"x","")</f>
        <v>x</v>
      </c>
      <c r="W148" s="49" t="str">
        <f>IF(AND(B148&gt;='IN-NX'!$P$3,B148&lt;='IN-NX'!$Q$3,'IN-NX'!$D$7=D148,OR(LEFT(L148,2)="15",AND(LEFT(M148,2)&lt;&gt;"15",LEFT(M148,2)&lt;&gt;"33"))),"x","")</f>
        <v/>
      </c>
      <c r="X148" s="49" t="str">
        <f>IF(AND(OR(LEFT(TH!L148,2)="15",LEFT(TH!M148,2)="15"),'152-CT'!$J$8=TH!F148),"x","")</f>
        <v/>
      </c>
      <c r="Y148" s="49" t="str">
        <f>IF(AND(OR(LEFT(TH!L148,2)="15",LEFT(TH!M148,2)="15"),TK!$E$7=TH!F148),"x","")</f>
        <v/>
      </c>
      <c r="Z148" s="49" t="str">
        <f>IF(AND(B148&lt;=NKC!$N$8,B148&gt;=NKC!$M$8),"x","")</f>
        <v/>
      </c>
      <c r="AA148" s="723"/>
      <c r="AC148" s="199"/>
      <c r="AD148" s="199"/>
    </row>
    <row r="149" spans="1:30" s="497" customFormat="1" ht="15.75" hidden="1" customHeight="1">
      <c r="A149" s="724" t="str">
        <f>IF(B149&lt;&gt;"",IF(AND(B149&gt;=_TM1,B149&lt;=_TM2,OR(TH!L149="1111",TH!M149="1111")),TH!D149,""),"")</f>
        <v/>
      </c>
      <c r="B149" s="36">
        <f t="shared" si="9"/>
        <v>11</v>
      </c>
      <c r="C149" s="185">
        <f t="shared" si="10"/>
        <v>41221</v>
      </c>
      <c r="D149" s="178" t="s">
        <v>604</v>
      </c>
      <c r="E149" s="185">
        <v>41221</v>
      </c>
      <c r="F149" s="186" t="s">
        <v>541</v>
      </c>
      <c r="G149" s="732" t="s">
        <v>566</v>
      </c>
      <c r="H149" s="187" t="s">
        <v>481</v>
      </c>
      <c r="I149" s="247">
        <v>1000</v>
      </c>
      <c r="J149" s="247">
        <v>6342</v>
      </c>
      <c r="K149" s="505">
        <f>ROUND(I149*J149,0)</f>
        <v>6342000</v>
      </c>
      <c r="L149" s="506" t="s">
        <v>252</v>
      </c>
      <c r="M149" s="506" t="s">
        <v>164</v>
      </c>
      <c r="N149" s="49" t="str">
        <f>IF(AND('331-CT'!$E$7=TH!H149,OR(L149="331",M149="331")),"331",IF(AND(OR(L149="131",M149="131"),H149='131-CT'!$E$7),"131",""))</f>
        <v/>
      </c>
      <c r="O149" s="49" t="str">
        <f>IF(AND($B149&gt;='111'!$N$11,$B149&lt;='111'!$O$11,OR($L149=$O$7,$M149=$O$7)),"x","")</f>
        <v/>
      </c>
      <c r="P149" s="49" t="str">
        <f>IF(AND($L149=$O$7,$B149&lt;'111'!$N$11),"x","")</f>
        <v/>
      </c>
      <c r="Q149" s="49" t="str">
        <f>IF(AND($M149=$O$7,$B149&lt;'111'!$N$11),"x","")</f>
        <v/>
      </c>
      <c r="R149" s="49" t="str">
        <f>IF(ISERROR(FIND('112'!$M$9,G149,1)),"",IF((AND(FIND('112'!$M$9,G149,1)&gt;=1,$B149&gt;='112'!$N$8,$B149&lt;='112'!$O$8,OR($L149='112'!$I$6,$M149='112'!$I$6))),"x",""))</f>
        <v/>
      </c>
      <c r="S149" s="49" t="str">
        <f>IF(ISERROR(FIND('112'!$M$9,G149,1)),"",IF((AND(LEFT(G149,2)=LEFT('112'!$M$9,2),B149&lt;'112'!$N$8,$L149='112'!$I$6)),"x",""))</f>
        <v/>
      </c>
      <c r="T149" s="49" t="str">
        <f>IF(ISERROR(FIND('112'!$M$9,G149,1)),"",IF((AND(RIGHT(G149,2)=RIGHT('112'!$M$9,2),B149&lt;'112'!$N$8,$M149='112'!$I$6)),"x",""))</f>
        <v/>
      </c>
      <c r="U149" s="49" t="str">
        <f>IF(AND(L149="154",'154'!$O$5&lt;=B149,'154'!$P$5&gt;=B149),"154",IF(AND(L149="632",'632'!$L$5&lt;=B149,'632'!$M$5&gt;=B149),"632",IF(AND(L149="642",'642'!$N$5&lt;=B149,'642'!$O$5&gt;=B149),"642",IF(AND(L149="641",'641'!$N$5&lt;=B149,'641'!$O$5&gt;=B149),"641",""))))</f>
        <v/>
      </c>
      <c r="V149" s="49" t="str">
        <f>IF(OR(TH!L149=TH!$V$7,M149=TH!$V$7),"x","")</f>
        <v/>
      </c>
      <c r="W149" s="49" t="str">
        <f>IF(AND(B149&gt;='IN-NX'!$P$3,B149&lt;='IN-NX'!$Q$3,'IN-NX'!$D$7=D149,OR(LEFT(L149,2)="15",AND(LEFT(M149,2)&lt;&gt;"15",LEFT(M149,2)&lt;&gt;"33"))),"x","")</f>
        <v/>
      </c>
      <c r="X149" s="49" t="str">
        <f>IF(AND(OR(LEFT(TH!L149,2)="15",LEFT(TH!M149,2)="15"),'152-CT'!$J$8=TH!F149),"x","")</f>
        <v/>
      </c>
      <c r="Y149" s="49" t="str">
        <f>IF(AND(OR(LEFT(TH!L149,2)="15",LEFT(TH!M149,2)="15"),TK!$E$7=TH!F149),"x","")</f>
        <v/>
      </c>
      <c r="Z149" s="49" t="str">
        <f>IF(AND(B149&lt;=NKC!$N$8,B149&gt;=NKC!$M$8),"x","")</f>
        <v/>
      </c>
      <c r="AA149" s="723"/>
      <c r="AC149" s="199"/>
      <c r="AD149" s="199"/>
    </row>
    <row r="150" spans="1:30" s="497" customFormat="1" ht="15.75" hidden="1" customHeight="1">
      <c r="A150" s="724" t="str">
        <f>IF(B150&lt;&gt;"",IF(AND(B150&gt;=_TM1,B150&lt;=_TM2,OR(TH!L150="1111",TH!M150="1111")),TH!D150,""),"")</f>
        <v/>
      </c>
      <c r="B150" s="36">
        <f t="shared" si="9"/>
        <v>11</v>
      </c>
      <c r="C150" s="185">
        <f t="shared" si="10"/>
        <v>41221</v>
      </c>
      <c r="D150" s="178" t="s">
        <v>604</v>
      </c>
      <c r="E150" s="185">
        <v>41221</v>
      </c>
      <c r="F150" s="186" t="s">
        <v>538</v>
      </c>
      <c r="G150" s="732" t="s">
        <v>566</v>
      </c>
      <c r="H150" s="187" t="s">
        <v>481</v>
      </c>
      <c r="I150" s="247"/>
      <c r="J150" s="247"/>
      <c r="K150" s="505">
        <v>634200</v>
      </c>
      <c r="L150" s="506" t="s">
        <v>252</v>
      </c>
      <c r="M150" s="506" t="s">
        <v>297</v>
      </c>
      <c r="N150" s="49" t="str">
        <f>IF(AND('331-CT'!$E$7=TH!H150,OR(L150="331",M150="331")),"331",IF(AND(OR(L150="131",M150="131"),H150='131-CT'!$E$7),"131",""))</f>
        <v/>
      </c>
      <c r="O150" s="49" t="str">
        <f>IF(AND($B150&gt;='111'!$N$11,$B150&lt;='111'!$O$11,OR($L150=$O$7,$M150=$O$7)),"x","")</f>
        <v/>
      </c>
      <c r="P150" s="49" t="str">
        <f>IF(AND($L150=$O$7,$B150&lt;'111'!$N$11),"x","")</f>
        <v/>
      </c>
      <c r="Q150" s="49" t="str">
        <f>IF(AND($M150=$O$7,$B150&lt;'111'!$N$11),"x","")</f>
        <v/>
      </c>
      <c r="R150" s="49" t="str">
        <f>IF(ISERROR(FIND('112'!$M$9,G150,1)),"",IF((AND(FIND('112'!$M$9,G150,1)&gt;=1,$B150&gt;='112'!$N$8,$B150&lt;='112'!$O$8,OR($L150='112'!$I$6,$M150='112'!$I$6))),"x",""))</f>
        <v/>
      </c>
      <c r="S150" s="49" t="str">
        <f>IF(ISERROR(FIND('112'!$M$9,G150,1)),"",IF((AND(LEFT(G150,2)=LEFT('112'!$M$9,2),B150&lt;'112'!$N$8,$L150='112'!$I$6)),"x",""))</f>
        <v/>
      </c>
      <c r="T150" s="49" t="str">
        <f>IF(ISERROR(FIND('112'!$M$9,G150,1)),"",IF((AND(RIGHT(G150,2)=RIGHT('112'!$M$9,2),B150&lt;'112'!$N$8,$M150='112'!$I$6)),"x",""))</f>
        <v/>
      </c>
      <c r="U150" s="49" t="str">
        <f>IF(AND(L150="154",'154'!$O$5&lt;=B150,'154'!$P$5&gt;=B150),"154",IF(AND(L150="632",'632'!$L$5&lt;=B150,'632'!$M$5&gt;=B150),"632",IF(AND(L150="642",'642'!$N$5&lt;=B150,'642'!$O$5&gt;=B150),"642",IF(AND(L150="641",'641'!$N$5&lt;=B150,'641'!$O$5&gt;=B150),"641",""))))</f>
        <v/>
      </c>
      <c r="V150" s="49" t="str">
        <f>IF(OR(TH!L150=TH!$V$7,M150=TH!$V$7),"x","")</f>
        <v/>
      </c>
      <c r="W150" s="49" t="str">
        <f>IF(AND(B150&gt;='IN-NX'!$P$3,B150&lt;='IN-NX'!$Q$3,'IN-NX'!$D$7=D150,OR(LEFT(L150,2)="15",AND(LEFT(M150,2)&lt;&gt;"15",LEFT(M150,2)&lt;&gt;"33"))),"x","")</f>
        <v/>
      </c>
      <c r="X150" s="49" t="str">
        <f>IF(AND(OR(LEFT(TH!L150,2)="15",LEFT(TH!M150,2)="15"),'152-CT'!$J$8=TH!F150),"x","")</f>
        <v/>
      </c>
      <c r="Y150" s="49" t="str">
        <f>IF(AND(OR(LEFT(TH!L150,2)="15",LEFT(TH!M150,2)="15"),TK!$E$7=TH!F150),"x","")</f>
        <v/>
      </c>
      <c r="Z150" s="49" t="str">
        <f>IF(AND(B150&lt;=NKC!$N$8,B150&gt;=NKC!$M$8),"x","")</f>
        <v/>
      </c>
      <c r="AA150" s="723"/>
      <c r="AC150" s="199"/>
      <c r="AD150" s="199"/>
    </row>
    <row r="151" spans="1:30" s="497" customFormat="1" ht="15.75" hidden="1" customHeight="1">
      <c r="A151" s="724" t="str">
        <f>IF(B151&lt;&gt;"",IF(AND(B151&gt;=_TM1,B151&lt;=_TM2,OR(TH!L151="1111",TH!M151="1111")),TH!D151,""),"")</f>
        <v>T09</v>
      </c>
      <c r="B151" s="36">
        <f t="shared" si="9"/>
        <v>11</v>
      </c>
      <c r="C151" s="185">
        <f t="shared" si="10"/>
        <v>41221</v>
      </c>
      <c r="D151" s="178" t="s">
        <v>617</v>
      </c>
      <c r="E151" s="185">
        <v>41221</v>
      </c>
      <c r="F151" s="186" t="s">
        <v>476</v>
      </c>
      <c r="G151" s="732" t="s">
        <v>566</v>
      </c>
      <c r="H151" s="187" t="s">
        <v>481</v>
      </c>
      <c r="I151" s="247"/>
      <c r="J151" s="247"/>
      <c r="K151" s="505">
        <v>6976200</v>
      </c>
      <c r="L151" s="506" t="s">
        <v>47</v>
      </c>
      <c r="M151" s="506" t="s">
        <v>252</v>
      </c>
      <c r="N151" s="49" t="str">
        <f>IF(AND('331-CT'!$E$7=TH!H151,OR(L151="331",M151="331")),"331",IF(AND(OR(L151="131",M151="131"),H151='131-CT'!$E$7),"131",""))</f>
        <v/>
      </c>
      <c r="O151" s="49" t="str">
        <f>IF(AND($B151&gt;='111'!$N$11,$B151&lt;='111'!$O$11,OR($L151=$O$7,$M151=$O$7)),"x","")</f>
        <v>x</v>
      </c>
      <c r="P151" s="49" t="str">
        <f>IF(AND($L151=$O$7,$B151&lt;'111'!$N$11),"x","")</f>
        <v/>
      </c>
      <c r="Q151" s="49" t="str">
        <f>IF(AND($M151=$O$7,$B151&lt;'111'!$N$11),"x","")</f>
        <v/>
      </c>
      <c r="R151" s="49" t="str">
        <f>IF(ISERROR(FIND('112'!$M$9,G151,1)),"",IF((AND(FIND('112'!$M$9,G151,1)&gt;=1,$B151&gt;='112'!$N$8,$B151&lt;='112'!$O$8,OR($L151='112'!$I$6,$M151='112'!$I$6))),"x",""))</f>
        <v/>
      </c>
      <c r="S151" s="49" t="str">
        <f>IF(ISERROR(FIND('112'!$M$9,G151,1)),"",IF((AND(LEFT(G151,2)=LEFT('112'!$M$9,2),B151&lt;'112'!$N$8,$L151='112'!$I$6)),"x",""))</f>
        <v/>
      </c>
      <c r="T151" s="49" t="str">
        <f>IF(ISERROR(FIND('112'!$M$9,G151,1)),"",IF((AND(RIGHT(G151,2)=RIGHT('112'!$M$9,2),B151&lt;'112'!$N$8,$M151='112'!$I$6)),"x",""))</f>
        <v/>
      </c>
      <c r="U151" s="49" t="str">
        <f>IF(AND(L151="154",'154'!$O$5&lt;=B151,'154'!$P$5&gt;=B151),"154",IF(AND(L151="632",'632'!$L$5&lt;=B151,'632'!$M$5&gt;=B151),"632",IF(AND(L151="642",'642'!$N$5&lt;=B151,'642'!$O$5&gt;=B151),"642",IF(AND(L151="641",'641'!$N$5&lt;=B151,'641'!$O$5&gt;=B151),"641",""))))</f>
        <v/>
      </c>
      <c r="V151" s="49" t="str">
        <f>IF(OR(TH!L151=TH!$V$7,M151=TH!$V$7),"x","")</f>
        <v/>
      </c>
      <c r="W151" s="49" t="str">
        <f>IF(AND(B151&gt;='IN-NX'!$P$3,B151&lt;='IN-NX'!$Q$3,'IN-NX'!$D$7=D151,OR(LEFT(L151,2)="15",AND(LEFT(M151,2)&lt;&gt;"15",LEFT(M151,2)&lt;&gt;"33"))),"x","")</f>
        <v/>
      </c>
      <c r="X151" s="49" t="str">
        <f>IF(AND(OR(LEFT(TH!L151,2)="15",LEFT(TH!M151,2)="15"),'152-CT'!$J$8=TH!F151),"x","")</f>
        <v/>
      </c>
      <c r="Y151" s="49" t="str">
        <f>IF(AND(OR(LEFT(TH!L151,2)="15",LEFT(TH!M151,2)="15"),TK!$E$7=TH!F151),"x","")</f>
        <v/>
      </c>
      <c r="Z151" s="49" t="str">
        <f>IF(AND(B151&lt;=NKC!$N$8,B151&gt;=NKC!$M$8),"x","")</f>
        <v/>
      </c>
      <c r="AA151" s="723"/>
      <c r="AC151" s="199"/>
      <c r="AD151" s="199"/>
    </row>
    <row r="152" spans="1:30" s="199" customFormat="1" ht="15.75" hidden="1" customHeight="1">
      <c r="A152" s="724" t="str">
        <f>IF(B152&lt;&gt;"",IF(AND(B152&gt;=_TM1,B152&lt;=_TM2,OR(TH!L152="1111",TH!M152="1111")),TH!D152,""),"")</f>
        <v>C14</v>
      </c>
      <c r="B152" s="36">
        <f t="shared" si="9"/>
        <v>11</v>
      </c>
      <c r="C152" s="185">
        <f t="shared" si="10"/>
        <v>41222</v>
      </c>
      <c r="D152" s="185" t="s">
        <v>508</v>
      </c>
      <c r="E152" s="178">
        <v>41222</v>
      </c>
      <c r="F152" s="183" t="s">
        <v>408</v>
      </c>
      <c r="G152" s="731"/>
      <c r="H152" s="7" t="s">
        <v>411</v>
      </c>
      <c r="I152" s="247"/>
      <c r="J152" s="247"/>
      <c r="K152" s="37">
        <v>505710</v>
      </c>
      <c r="L152" s="188" t="s">
        <v>17</v>
      </c>
      <c r="M152" s="188" t="s">
        <v>47</v>
      </c>
      <c r="N152" s="49" t="str">
        <f>IF(AND('331-CT'!$E$7=TH!H152,OR(L152="331",M152="331")),"331",IF(AND(OR(L152="131",M152="131"),H152='131-CT'!$E$7),"131",""))</f>
        <v/>
      </c>
      <c r="O152" s="49" t="str">
        <f>IF(AND($B152&gt;='111'!$N$11,$B152&lt;='111'!$O$11,OR($L152=$O$7,$M152=$O$7)),"x","")</f>
        <v>x</v>
      </c>
      <c r="P152" s="49" t="str">
        <f>IF(AND($L152=$O$7,$B152&lt;'111'!$N$11),"x","")</f>
        <v/>
      </c>
      <c r="Q152" s="49" t="str">
        <f>IF(AND($M152=$O$7,$B152&lt;'111'!$N$11),"x","")</f>
        <v/>
      </c>
      <c r="R152" s="49" t="str">
        <f>IF(ISERROR(FIND('112'!$M$9,G152,1)),"",IF((AND(FIND('112'!$M$9,G152,1)&gt;=1,$B152&gt;='112'!$N$8,$B152&lt;='112'!$O$8,OR($L152='112'!$I$6,$M152='112'!$I$6))),"x",""))</f>
        <v/>
      </c>
      <c r="S152" s="49" t="str">
        <f>IF(ISERROR(FIND('112'!$M$9,G152,1)),"",IF((AND(LEFT(G152,2)=LEFT('112'!$M$9,2),B152&lt;'112'!$N$8,$L152='112'!$I$6)),"x",""))</f>
        <v/>
      </c>
      <c r="T152" s="49" t="str">
        <f>IF(ISERROR(FIND('112'!$M$9,G152,1)),"",IF((AND(RIGHT(G152,2)=RIGHT('112'!$M$9,2),B152&lt;'112'!$N$8,$M152='112'!$I$6)),"x",""))</f>
        <v/>
      </c>
      <c r="U152" s="49" t="str">
        <f>IF(AND(L152="154",'154'!$O$5&lt;=B152,'154'!$P$5&gt;=B152),"154",IF(AND(L152="632",'632'!$L$5&lt;=B152,'632'!$M$5&gt;=B152),"632",IF(AND(L152="642",'642'!$N$5&lt;=B152,'642'!$O$5&gt;=B152),"642",IF(AND(L152="641",'641'!$N$5&lt;=B152,'641'!$O$5&gt;=B152),"641",""))))</f>
        <v/>
      </c>
      <c r="V152" s="49" t="str">
        <f>IF(OR(TH!L152=TH!$V$7,M152=TH!$V$7),"x","")</f>
        <v/>
      </c>
      <c r="W152" s="49" t="str">
        <f>IF(AND(B152&gt;='IN-NX'!$P$3,B152&lt;='IN-NX'!$Q$3,'IN-NX'!$D$7=D152,OR(LEFT(L152,2)="15",AND(LEFT(M152,2)&lt;&gt;"15",LEFT(M152,2)&lt;&gt;"33"))),"x","")</f>
        <v/>
      </c>
      <c r="X152" s="49" t="str">
        <f>IF(AND(OR(LEFT(TH!L152,2)="15",LEFT(TH!M152,2)="15"),'152-CT'!$J$8=TH!F152),"x","")</f>
        <v/>
      </c>
      <c r="Y152" s="49" t="str">
        <f>IF(AND(OR(LEFT(TH!L152,2)="15",LEFT(TH!M152,2)="15"),TK!$E$7=TH!F152),"x","")</f>
        <v/>
      </c>
      <c r="Z152" s="49" t="str">
        <f>IF(AND(B152&lt;=NKC!$N$8,B152&gt;=NKC!$M$8),"x","")</f>
        <v/>
      </c>
      <c r="AA152" s="723"/>
      <c r="AB152" s="497"/>
    </row>
    <row r="153" spans="1:30" s="497" customFormat="1" ht="15.75" hidden="1" customHeight="1">
      <c r="A153" s="724" t="str">
        <f>IF(B153&lt;&gt;"",IF(AND(B153&gt;=_TM1,B153&lt;=_TM2,OR(TH!L153="1111",TH!M153="1111")),TH!D153,""),"")</f>
        <v>C15</v>
      </c>
      <c r="B153" s="36">
        <f t="shared" si="9"/>
        <v>11</v>
      </c>
      <c r="C153" s="185">
        <f t="shared" si="10"/>
        <v>41228</v>
      </c>
      <c r="D153" s="185" t="s">
        <v>509</v>
      </c>
      <c r="E153" s="178">
        <v>41228</v>
      </c>
      <c r="F153" s="186" t="s">
        <v>381</v>
      </c>
      <c r="G153" s="731" t="s">
        <v>442</v>
      </c>
      <c r="H153" s="198" t="s">
        <v>383</v>
      </c>
      <c r="I153" s="247"/>
      <c r="J153" s="247"/>
      <c r="K153" s="37">
        <f>516607+292676</f>
        <v>809283</v>
      </c>
      <c r="L153" s="188" t="s">
        <v>83</v>
      </c>
      <c r="M153" s="188" t="s">
        <v>47</v>
      </c>
      <c r="N153" s="49" t="str">
        <f>IF(AND('331-CT'!$E$7=TH!H153,OR(L153="331",M153="331")),"331",IF(AND(OR(L153="131",M153="131"),H153='131-CT'!$E$7),"131",""))</f>
        <v/>
      </c>
      <c r="O153" s="49" t="str">
        <f>IF(AND($B153&gt;='111'!$N$11,$B153&lt;='111'!$O$11,OR($L153=$O$7,$M153=$O$7)),"x","")</f>
        <v>x</v>
      </c>
      <c r="P153" s="49" t="str">
        <f>IF(AND($L153=$O$7,$B153&lt;'111'!$N$11),"x","")</f>
        <v/>
      </c>
      <c r="Q153" s="49" t="str">
        <f>IF(AND($M153=$O$7,$B153&lt;'111'!$N$11),"x","")</f>
        <v/>
      </c>
      <c r="R153" s="49" t="str">
        <f>IF(ISERROR(FIND('112'!$M$9,G153,1)),"",IF((AND(FIND('112'!$M$9,G153,1)&gt;=1,$B153&gt;='112'!$N$8,$B153&lt;='112'!$O$8,OR($L153='112'!$I$6,$M153='112'!$I$6))),"x",""))</f>
        <v/>
      </c>
      <c r="S153" s="49" t="str">
        <f>IF(ISERROR(FIND('112'!$M$9,G153,1)),"",IF((AND(LEFT(G153,2)=LEFT('112'!$M$9,2),B153&lt;'112'!$N$8,$L153='112'!$I$6)),"x",""))</f>
        <v/>
      </c>
      <c r="T153" s="49" t="str">
        <f>IF(ISERROR(FIND('112'!$M$9,G153,1)),"",IF((AND(RIGHT(G153,2)=RIGHT('112'!$M$9,2),B153&lt;'112'!$N$8,$M153='112'!$I$6)),"x",""))</f>
        <v/>
      </c>
      <c r="U153" s="49" t="str">
        <f>IF(AND(L153="154",'154'!$O$5&lt;=B153,'154'!$P$5&gt;=B153),"154",IF(AND(L153="632",'632'!$L$5&lt;=B153,'632'!$M$5&gt;=B153),"632",IF(AND(L153="642",'642'!$N$5&lt;=B153,'642'!$O$5&gt;=B153),"642",IF(AND(L153="641",'641'!$N$5&lt;=B153,'641'!$O$5&gt;=B153),"641",""))))</f>
        <v/>
      </c>
      <c r="V153" s="49" t="str">
        <f>IF(OR(TH!L153=TH!$V$7,M153=TH!$V$7),"x","")</f>
        <v/>
      </c>
      <c r="W153" s="49" t="str">
        <f>IF(AND(B153&gt;='IN-NX'!$P$3,B153&lt;='IN-NX'!$Q$3,'IN-NX'!$D$7=D153,OR(LEFT(L153,2)="15",AND(LEFT(M153,2)&lt;&gt;"15",LEFT(M153,2)&lt;&gt;"33"))),"x","")</f>
        <v/>
      </c>
      <c r="X153" s="49" t="str">
        <f>IF(AND(OR(LEFT(TH!L153,2)="15",LEFT(TH!M153,2)="15"),'152-CT'!$J$8=TH!F153),"x","")</f>
        <v/>
      </c>
      <c r="Y153" s="49" t="str">
        <f>IF(AND(OR(LEFT(TH!L153,2)="15",LEFT(TH!M153,2)="15"),TK!$E$7=TH!F153),"x","")</f>
        <v/>
      </c>
      <c r="Z153" s="49" t="str">
        <f>IF(AND(B153&lt;=NKC!$N$8,B153&gt;=NKC!$M$8),"x","")</f>
        <v/>
      </c>
      <c r="AA153" s="723"/>
      <c r="AC153" s="199"/>
      <c r="AD153" s="199"/>
    </row>
    <row r="154" spans="1:30" s="497" customFormat="1" ht="15.75" hidden="1" customHeight="1">
      <c r="A154" s="724" t="str">
        <f>IF(B154&lt;&gt;"",IF(AND(B154&gt;=_TM1,B154&lt;=_TM2,OR(TH!L154="1111",TH!M154="1111")),TH!D154,""),"")</f>
        <v>C15</v>
      </c>
      <c r="B154" s="36">
        <f t="shared" si="9"/>
        <v>11</v>
      </c>
      <c r="C154" s="185">
        <f t="shared" si="10"/>
        <v>41228</v>
      </c>
      <c r="D154" s="185" t="s">
        <v>509</v>
      </c>
      <c r="E154" s="178">
        <v>41228</v>
      </c>
      <c r="F154" s="186" t="s">
        <v>382</v>
      </c>
      <c r="G154" s="731" t="s">
        <v>442</v>
      </c>
      <c r="H154" s="198" t="s">
        <v>383</v>
      </c>
      <c r="I154" s="247"/>
      <c r="J154" s="247"/>
      <c r="K154" s="37">
        <f>51661+29268</f>
        <v>80929</v>
      </c>
      <c r="L154" s="188" t="s">
        <v>83</v>
      </c>
      <c r="M154" s="188" t="s">
        <v>47</v>
      </c>
      <c r="N154" s="49" t="str">
        <f>IF(AND('331-CT'!$E$7=TH!H154,OR(L154="331",M154="331")),"331",IF(AND(OR(L154="131",M154="131"),H154='131-CT'!$E$7),"131",""))</f>
        <v/>
      </c>
      <c r="O154" s="49" t="str">
        <f>IF(AND($B154&gt;='111'!$N$11,$B154&lt;='111'!$O$11,OR($L154=$O$7,$M154=$O$7)),"x","")</f>
        <v>x</v>
      </c>
      <c r="P154" s="49" t="str">
        <f>IF(AND($L154=$O$7,$B154&lt;'111'!$N$11),"x","")</f>
        <v/>
      </c>
      <c r="Q154" s="49" t="str">
        <f>IF(AND($M154=$O$7,$B154&lt;'111'!$N$11),"x","")</f>
        <v/>
      </c>
      <c r="R154" s="49" t="str">
        <f>IF(ISERROR(FIND('112'!$M$9,G154,1)),"",IF((AND(FIND('112'!$M$9,G154,1)&gt;=1,$B154&gt;='112'!$N$8,$B154&lt;='112'!$O$8,OR($L154='112'!$I$6,$M154='112'!$I$6))),"x",""))</f>
        <v/>
      </c>
      <c r="S154" s="49" t="str">
        <f>IF(ISERROR(FIND('112'!$M$9,G154,1)),"",IF((AND(LEFT(G154,2)=LEFT('112'!$M$9,2),B154&lt;'112'!$N$8,$L154='112'!$I$6)),"x",""))</f>
        <v/>
      </c>
      <c r="T154" s="49" t="str">
        <f>IF(ISERROR(FIND('112'!$M$9,G154,1)),"",IF((AND(RIGHT(G154,2)=RIGHT('112'!$M$9,2),B154&lt;'112'!$N$8,$M154='112'!$I$6)),"x",""))</f>
        <v/>
      </c>
      <c r="U154" s="49" t="str">
        <f>IF(AND(L154="154",'154'!$O$5&lt;=B154,'154'!$P$5&gt;=B154),"154",IF(AND(L154="632",'632'!$L$5&lt;=B154,'632'!$M$5&gt;=B154),"632",IF(AND(L154="642",'642'!$N$5&lt;=B154,'642'!$O$5&gt;=B154),"642",IF(AND(L154="641",'641'!$N$5&lt;=B154,'641'!$O$5&gt;=B154),"641",""))))</f>
        <v/>
      </c>
      <c r="V154" s="49" t="str">
        <f>IF(OR(TH!L154=TH!$V$7,M154=TH!$V$7),"x","")</f>
        <v/>
      </c>
      <c r="W154" s="49" t="str">
        <f>IF(AND(B154&gt;='IN-NX'!$P$3,B154&lt;='IN-NX'!$Q$3,'IN-NX'!$D$7=D154,OR(LEFT(L154,2)="15",AND(LEFT(M154,2)&lt;&gt;"15",LEFT(M154,2)&lt;&gt;"33"))),"x","")</f>
        <v/>
      </c>
      <c r="X154" s="49" t="str">
        <f>IF(AND(OR(LEFT(TH!L154,2)="15",LEFT(TH!M154,2)="15"),'152-CT'!$J$8=TH!F154),"x","")</f>
        <v/>
      </c>
      <c r="Y154" s="49" t="str">
        <f>IF(AND(OR(LEFT(TH!L154,2)="15",LEFT(TH!M154,2)="15"),TK!$E$7=TH!F154),"x","")</f>
        <v/>
      </c>
      <c r="Z154" s="49" t="str">
        <f>IF(AND(B154&lt;=NKC!$N$8,B154&gt;=NKC!$M$8),"x","")</f>
        <v/>
      </c>
      <c r="AA154" s="723"/>
      <c r="AC154" s="199"/>
      <c r="AD154" s="199"/>
    </row>
    <row r="155" spans="1:30" s="497" customFormat="1" ht="15.75" hidden="1" customHeight="1">
      <c r="A155" s="724" t="str">
        <f>IF(B155&lt;&gt;"",IF(AND(B155&gt;=_TM1,B155&lt;=_TM2,OR(TH!L155="1111",TH!M155="1111")),TH!D155,""),"")</f>
        <v/>
      </c>
      <c r="B155" s="36">
        <f t="shared" ref="B155:B218" si="11">IF(C155&lt;&gt;"",MONTH(C155),"")</f>
        <v>11</v>
      </c>
      <c r="C155" s="185">
        <f t="shared" ref="C155:C218" si="12">E155</f>
        <v>41229</v>
      </c>
      <c r="D155" s="178" t="s">
        <v>605</v>
      </c>
      <c r="E155" s="185">
        <v>41229</v>
      </c>
      <c r="F155" s="186" t="s">
        <v>547</v>
      </c>
      <c r="G155" s="732" t="s">
        <v>567</v>
      </c>
      <c r="H155" s="187" t="s">
        <v>481</v>
      </c>
      <c r="I155" s="247">
        <v>1000</v>
      </c>
      <c r="J155" s="247">
        <v>6200</v>
      </c>
      <c r="K155" s="505">
        <f>ROUND(I155*J155,0)</f>
        <v>6200000</v>
      </c>
      <c r="L155" s="506" t="s">
        <v>252</v>
      </c>
      <c r="M155" s="506" t="s">
        <v>164</v>
      </c>
      <c r="N155" s="49" t="str">
        <f>IF(AND('331-CT'!$E$7=TH!H155,OR(L155="331",M155="331")),"331",IF(AND(OR(L155="131",M155="131"),H155='131-CT'!$E$7),"131",""))</f>
        <v/>
      </c>
      <c r="O155" s="49" t="str">
        <f>IF(AND($B155&gt;='111'!$N$11,$B155&lt;='111'!$O$11,OR($L155=$O$7,$M155=$O$7)),"x","")</f>
        <v/>
      </c>
      <c r="P155" s="49" t="str">
        <f>IF(AND($L155=$O$7,$B155&lt;'111'!$N$11),"x","")</f>
        <v/>
      </c>
      <c r="Q155" s="49" t="str">
        <f>IF(AND($M155=$O$7,$B155&lt;'111'!$N$11),"x","")</f>
        <v/>
      </c>
      <c r="R155" s="49" t="str">
        <f>IF(ISERROR(FIND('112'!$M$9,G155,1)),"",IF((AND(FIND('112'!$M$9,G155,1)&gt;=1,$B155&gt;='112'!$N$8,$B155&lt;='112'!$O$8,OR($L155='112'!$I$6,$M155='112'!$I$6))),"x",""))</f>
        <v/>
      </c>
      <c r="S155" s="49" t="str">
        <f>IF(ISERROR(FIND('112'!$M$9,G155,1)),"",IF((AND(LEFT(G155,2)=LEFT('112'!$M$9,2),B155&lt;'112'!$N$8,$L155='112'!$I$6)),"x",""))</f>
        <v/>
      </c>
      <c r="T155" s="49" t="str">
        <f>IF(ISERROR(FIND('112'!$M$9,G155,1)),"",IF((AND(RIGHT(G155,2)=RIGHT('112'!$M$9,2),B155&lt;'112'!$N$8,$M155='112'!$I$6)),"x",""))</f>
        <v/>
      </c>
      <c r="U155" s="49" t="str">
        <f>IF(AND(L155="154",'154'!$O$5&lt;=B155,'154'!$P$5&gt;=B155),"154",IF(AND(L155="632",'632'!$L$5&lt;=B155,'632'!$M$5&gt;=B155),"632",IF(AND(L155="642",'642'!$N$5&lt;=B155,'642'!$O$5&gt;=B155),"642",IF(AND(L155="641",'641'!$N$5&lt;=B155,'641'!$O$5&gt;=B155),"641",""))))</f>
        <v/>
      </c>
      <c r="V155" s="49" t="str">
        <f>IF(OR(TH!L155=TH!$V$7,M155=TH!$V$7),"x","")</f>
        <v/>
      </c>
      <c r="W155" s="49" t="str">
        <f>IF(AND(B155&gt;='IN-NX'!$P$3,B155&lt;='IN-NX'!$Q$3,'IN-NX'!$D$7=D155,OR(LEFT(L155,2)="15",AND(LEFT(M155,2)&lt;&gt;"15",LEFT(M155,2)&lt;&gt;"33"))),"x","")</f>
        <v/>
      </c>
      <c r="X155" s="49" t="str">
        <f>IF(AND(OR(LEFT(TH!L155,2)="15",LEFT(TH!M155,2)="15"),'152-CT'!$J$8=TH!F155),"x","")</f>
        <v/>
      </c>
      <c r="Y155" s="49" t="str">
        <f>IF(AND(OR(LEFT(TH!L155,2)="15",LEFT(TH!M155,2)="15"),TK!$E$7=TH!F155),"x","")</f>
        <v/>
      </c>
      <c r="Z155" s="49" t="str">
        <f>IF(AND(B155&lt;=NKC!$N$8,B155&gt;=NKC!$M$8),"x","")</f>
        <v/>
      </c>
      <c r="AA155" s="723"/>
      <c r="AC155" s="199"/>
      <c r="AD155" s="199"/>
    </row>
    <row r="156" spans="1:30" s="199" customFormat="1" ht="15.75" hidden="1" customHeight="1">
      <c r="A156" s="724" t="str">
        <f>IF(B156&lt;&gt;"",IF(AND(B156&gt;=_TM1,B156&lt;=_TM2,OR(TH!L156="1111",TH!M156="1111")),TH!D156,""),"")</f>
        <v/>
      </c>
      <c r="B156" s="36">
        <f t="shared" si="11"/>
        <v>11</v>
      </c>
      <c r="C156" s="185">
        <f t="shared" si="12"/>
        <v>41229</v>
      </c>
      <c r="D156" s="178" t="s">
        <v>605</v>
      </c>
      <c r="E156" s="185">
        <v>41229</v>
      </c>
      <c r="F156" s="186" t="s">
        <v>538</v>
      </c>
      <c r="G156" s="732" t="s">
        <v>567</v>
      </c>
      <c r="H156" s="187" t="s">
        <v>481</v>
      </c>
      <c r="I156" s="247"/>
      <c r="J156" s="247"/>
      <c r="K156" s="505">
        <v>620000</v>
      </c>
      <c r="L156" s="506" t="s">
        <v>252</v>
      </c>
      <c r="M156" s="506" t="s">
        <v>297</v>
      </c>
      <c r="N156" s="49" t="str">
        <f>IF(AND('331-CT'!$E$7=TH!H156,OR(L156="331",M156="331")),"331",IF(AND(OR(L156="131",M156="131"),H156='131-CT'!$E$7),"131",""))</f>
        <v/>
      </c>
      <c r="O156" s="49" t="str">
        <f>IF(AND($B156&gt;='111'!$N$11,$B156&lt;='111'!$O$11,OR($L156=$O$7,$M156=$O$7)),"x","")</f>
        <v/>
      </c>
      <c r="P156" s="49" t="str">
        <f>IF(AND($L156=$O$7,$B156&lt;'111'!$N$11),"x","")</f>
        <v/>
      </c>
      <c r="Q156" s="49" t="str">
        <f>IF(AND($M156=$O$7,$B156&lt;'111'!$N$11),"x","")</f>
        <v/>
      </c>
      <c r="R156" s="49" t="str">
        <f>IF(ISERROR(FIND('112'!$M$9,G156,1)),"",IF((AND(FIND('112'!$M$9,G156,1)&gt;=1,$B156&gt;='112'!$N$8,$B156&lt;='112'!$O$8,OR($L156='112'!$I$6,$M156='112'!$I$6))),"x",""))</f>
        <v/>
      </c>
      <c r="S156" s="49" t="str">
        <f>IF(ISERROR(FIND('112'!$M$9,G156,1)),"",IF((AND(LEFT(G156,2)=LEFT('112'!$M$9,2),B156&lt;'112'!$N$8,$L156='112'!$I$6)),"x",""))</f>
        <v/>
      </c>
      <c r="T156" s="49" t="str">
        <f>IF(ISERROR(FIND('112'!$M$9,G156,1)),"",IF((AND(RIGHT(G156,2)=RIGHT('112'!$M$9,2),B156&lt;'112'!$N$8,$M156='112'!$I$6)),"x",""))</f>
        <v/>
      </c>
      <c r="U156" s="49" t="str">
        <f>IF(AND(L156="154",'154'!$O$5&lt;=B156,'154'!$P$5&gt;=B156),"154",IF(AND(L156="632",'632'!$L$5&lt;=B156,'632'!$M$5&gt;=B156),"632",IF(AND(L156="642",'642'!$N$5&lt;=B156,'642'!$O$5&gt;=B156),"642",IF(AND(L156="641",'641'!$N$5&lt;=B156,'641'!$O$5&gt;=B156),"641",""))))</f>
        <v/>
      </c>
      <c r="V156" s="49" t="str">
        <f>IF(OR(TH!L156=TH!$V$7,M156=TH!$V$7),"x","")</f>
        <v/>
      </c>
      <c r="W156" s="49" t="str">
        <f>IF(AND(B156&gt;='IN-NX'!$P$3,B156&lt;='IN-NX'!$Q$3,'IN-NX'!$D$7=D156,OR(LEFT(L156,2)="15",AND(LEFT(M156,2)&lt;&gt;"15",LEFT(M156,2)&lt;&gt;"33"))),"x","")</f>
        <v/>
      </c>
      <c r="X156" s="49" t="str">
        <f>IF(AND(OR(LEFT(TH!L156,2)="15",LEFT(TH!M156,2)="15"),'152-CT'!$J$8=TH!F156),"x","")</f>
        <v/>
      </c>
      <c r="Y156" s="49" t="str">
        <f>IF(AND(OR(LEFT(TH!L156,2)="15",LEFT(TH!M156,2)="15"),TK!$E$7=TH!F156),"x","")</f>
        <v/>
      </c>
      <c r="Z156" s="49" t="str">
        <f>IF(AND(B156&lt;=NKC!$N$8,B156&gt;=NKC!$M$8),"x","")</f>
        <v/>
      </c>
      <c r="AA156" s="723"/>
      <c r="AB156" s="497"/>
    </row>
    <row r="157" spans="1:30" s="497" customFormat="1" ht="15.75" hidden="1" customHeight="1">
      <c r="A157" s="724" t="str">
        <f>IF(B157&lt;&gt;"",IF(AND(B157&gt;=_TM1,B157&lt;=_TM2,OR(TH!L157="1111",TH!M157="1111")),TH!D157,""),"")</f>
        <v>T10</v>
      </c>
      <c r="B157" s="36">
        <f t="shared" si="11"/>
        <v>11</v>
      </c>
      <c r="C157" s="185">
        <f t="shared" si="12"/>
        <v>41229</v>
      </c>
      <c r="D157" s="178" t="s">
        <v>618</v>
      </c>
      <c r="E157" s="185">
        <v>41229</v>
      </c>
      <c r="F157" s="186" t="s">
        <v>476</v>
      </c>
      <c r="G157" s="732" t="s">
        <v>567</v>
      </c>
      <c r="H157" s="187" t="s">
        <v>481</v>
      </c>
      <c r="I157" s="247"/>
      <c r="J157" s="247"/>
      <c r="K157" s="505">
        <v>6820000</v>
      </c>
      <c r="L157" s="506" t="s">
        <v>47</v>
      </c>
      <c r="M157" s="506" t="s">
        <v>252</v>
      </c>
      <c r="N157" s="49" t="str">
        <f>IF(AND('331-CT'!$E$7=TH!H157,OR(L157="331",M157="331")),"331",IF(AND(OR(L157="131",M157="131"),H157='131-CT'!$E$7),"131",""))</f>
        <v/>
      </c>
      <c r="O157" s="49" t="str">
        <f>IF(AND($B157&gt;='111'!$N$11,$B157&lt;='111'!$O$11,OR($L157=$O$7,$M157=$O$7)),"x","")</f>
        <v>x</v>
      </c>
      <c r="P157" s="49" t="str">
        <f>IF(AND($L157=$O$7,$B157&lt;'111'!$N$11),"x","")</f>
        <v/>
      </c>
      <c r="Q157" s="49" t="str">
        <f>IF(AND($M157=$O$7,$B157&lt;'111'!$N$11),"x","")</f>
        <v/>
      </c>
      <c r="R157" s="49" t="str">
        <f>IF(ISERROR(FIND('112'!$M$9,G157,1)),"",IF((AND(FIND('112'!$M$9,G157,1)&gt;=1,$B157&gt;='112'!$N$8,$B157&lt;='112'!$O$8,OR($L157='112'!$I$6,$M157='112'!$I$6))),"x",""))</f>
        <v/>
      </c>
      <c r="S157" s="49" t="str">
        <f>IF(ISERROR(FIND('112'!$M$9,G157,1)),"",IF((AND(LEFT(G157,2)=LEFT('112'!$M$9,2),B157&lt;'112'!$N$8,$L157='112'!$I$6)),"x",""))</f>
        <v/>
      </c>
      <c r="T157" s="49" t="str">
        <f>IF(ISERROR(FIND('112'!$M$9,G157,1)),"",IF((AND(RIGHT(G157,2)=RIGHT('112'!$M$9,2),B157&lt;'112'!$N$8,$M157='112'!$I$6)),"x",""))</f>
        <v/>
      </c>
      <c r="U157" s="49" t="str">
        <f>IF(AND(L157="154",'154'!$O$5&lt;=B157,'154'!$P$5&gt;=B157),"154",IF(AND(L157="632",'632'!$L$5&lt;=B157,'632'!$M$5&gt;=B157),"632",IF(AND(L157="642",'642'!$N$5&lt;=B157,'642'!$O$5&gt;=B157),"642",IF(AND(L157="641",'641'!$N$5&lt;=B157,'641'!$O$5&gt;=B157),"641",""))))</f>
        <v/>
      </c>
      <c r="V157" s="49" t="str">
        <f>IF(OR(TH!L157=TH!$V$7,M157=TH!$V$7),"x","")</f>
        <v/>
      </c>
      <c r="W157" s="49" t="str">
        <f>IF(AND(B157&gt;='IN-NX'!$P$3,B157&lt;='IN-NX'!$Q$3,'IN-NX'!$D$7=D157,OR(LEFT(L157,2)="15",AND(LEFT(M157,2)&lt;&gt;"15",LEFT(M157,2)&lt;&gt;"33"))),"x","")</f>
        <v/>
      </c>
      <c r="X157" s="49" t="str">
        <f>IF(AND(OR(LEFT(TH!L157,2)="15",LEFT(TH!M157,2)="15"),'152-CT'!$J$8=TH!F157),"x","")</f>
        <v/>
      </c>
      <c r="Y157" s="49" t="str">
        <f>IF(AND(OR(LEFT(TH!L157,2)="15",LEFT(TH!M157,2)="15"),TK!$E$7=TH!F157),"x","")</f>
        <v/>
      </c>
      <c r="Z157" s="49" t="str">
        <f>IF(AND(B157&lt;=NKC!$N$8,B157&gt;=NKC!$M$8),"x","")</f>
        <v/>
      </c>
      <c r="AA157" s="723"/>
      <c r="AC157" s="199"/>
      <c r="AD157" s="199"/>
    </row>
    <row r="158" spans="1:30" s="497" customFormat="1" ht="15.75" hidden="1" customHeight="1">
      <c r="A158" s="724" t="str">
        <f>IF(B158&lt;&gt;"",IF(AND(B158&gt;=_TM1,B158&lt;=_TM2,OR(TH!L158="1111",TH!M158="1111")),TH!D158,""),"")</f>
        <v/>
      </c>
      <c r="B158" s="36">
        <f t="shared" si="11"/>
        <v>11</v>
      </c>
      <c r="C158" s="185">
        <f t="shared" si="12"/>
        <v>41230</v>
      </c>
      <c r="D158" s="185" t="s">
        <v>510</v>
      </c>
      <c r="E158" s="178">
        <v>41230</v>
      </c>
      <c r="F158" s="183" t="s">
        <v>422</v>
      </c>
      <c r="G158" s="731" t="s">
        <v>448</v>
      </c>
      <c r="H158" s="7" t="s">
        <v>390</v>
      </c>
      <c r="I158" s="247">
        <v>1000</v>
      </c>
      <c r="J158" s="247">
        <v>10286</v>
      </c>
      <c r="K158" s="37">
        <f>ROUND(I158*J158,0)</f>
        <v>10286000</v>
      </c>
      <c r="L158" s="188" t="s">
        <v>375</v>
      </c>
      <c r="M158" s="188" t="s">
        <v>8</v>
      </c>
      <c r="N158" s="49" t="str">
        <f>IF(AND('331-CT'!$E$7=TH!H158,OR(L158="331",M158="331")),"331",IF(AND(OR(L158="131",M158="131"),H158='131-CT'!$E$7),"131",""))</f>
        <v>331</v>
      </c>
      <c r="O158" s="49" t="str">
        <f>IF(AND($B158&gt;='111'!$N$11,$B158&lt;='111'!$O$11,OR($L158=$O$7,$M158=$O$7)),"x","")</f>
        <v/>
      </c>
      <c r="P158" s="49" t="str">
        <f>IF(AND($L158=$O$7,$B158&lt;'111'!$N$11),"x","")</f>
        <v/>
      </c>
      <c r="Q158" s="49" t="str">
        <f>IF(AND($M158=$O$7,$B158&lt;'111'!$N$11),"x","")</f>
        <v/>
      </c>
      <c r="R158" s="49" t="str">
        <f>IF(ISERROR(FIND('112'!$M$9,G158,1)),"",IF((AND(FIND('112'!$M$9,G158,1)&gt;=1,$B158&gt;='112'!$N$8,$B158&lt;='112'!$O$8,OR($L158='112'!$I$6,$M158='112'!$I$6))),"x",""))</f>
        <v/>
      </c>
      <c r="S158" s="49" t="str">
        <f>IF(ISERROR(FIND('112'!$M$9,G158,1)),"",IF((AND(LEFT(G158,2)=LEFT('112'!$M$9,2),B158&lt;'112'!$N$8,$L158='112'!$I$6)),"x",""))</f>
        <v/>
      </c>
      <c r="T158" s="49" t="str">
        <f>IF(ISERROR(FIND('112'!$M$9,G158,1)),"",IF((AND(RIGHT(G158,2)=RIGHT('112'!$M$9,2),B158&lt;'112'!$N$8,$M158='112'!$I$6)),"x",""))</f>
        <v/>
      </c>
      <c r="U158" s="49" t="str">
        <f>IF(AND(L158="154",'154'!$O$5&lt;=B158,'154'!$P$5&gt;=B158),"154",IF(AND(L158="632",'632'!$L$5&lt;=B158,'632'!$M$5&gt;=B158),"632",IF(AND(L158="642",'642'!$N$5&lt;=B158,'642'!$O$5&gt;=B158),"642",IF(AND(L158="641",'641'!$N$5&lt;=B158,'641'!$O$5&gt;=B158),"641",""))))</f>
        <v/>
      </c>
      <c r="V158" s="49" t="str">
        <f>IF(OR(TH!L158=TH!$V$7,M158=TH!$V$7),"x","")</f>
        <v/>
      </c>
      <c r="W158" s="49" t="str">
        <f>IF(AND(B158&gt;='IN-NX'!$P$3,B158&lt;='IN-NX'!$Q$3,'IN-NX'!$D$7=D158,OR(LEFT(L158,2)="15",AND(LEFT(M158,2)&lt;&gt;"15",LEFT(M158,2)&lt;&gt;"33"))),"x","")</f>
        <v/>
      </c>
      <c r="X158" s="49" t="str">
        <f>IF(AND(OR(LEFT(TH!L158,2)="15",LEFT(TH!M158,2)="15"),'152-CT'!$J$8=TH!F158),"x","")</f>
        <v/>
      </c>
      <c r="Y158" s="49" t="str">
        <f>IF(AND(OR(LEFT(TH!L158,2)="15",LEFT(TH!M158,2)="15"),TK!$E$7=TH!F158),"x","")</f>
        <v/>
      </c>
      <c r="Z158" s="49" t="str">
        <f>IF(AND(B158&lt;=NKC!$N$8,B158&gt;=NKC!$M$8),"x","")</f>
        <v/>
      </c>
      <c r="AA158" s="723"/>
      <c r="AB158" s="199"/>
      <c r="AC158" s="199"/>
      <c r="AD158" s="199"/>
    </row>
    <row r="159" spans="1:30" s="497" customFormat="1" ht="15.75" hidden="1" customHeight="1">
      <c r="A159" s="724" t="str">
        <f>IF(B159&lt;&gt;"",IF(AND(B159&gt;=_TM1,B159&lt;=_TM2,OR(TH!L159="1111",TH!M159="1111")),TH!D159,""),"")</f>
        <v/>
      </c>
      <c r="B159" s="36">
        <f t="shared" si="11"/>
        <v>11</v>
      </c>
      <c r="C159" s="185">
        <f t="shared" si="12"/>
        <v>41230</v>
      </c>
      <c r="D159" s="185" t="s">
        <v>510</v>
      </c>
      <c r="E159" s="178">
        <v>41230</v>
      </c>
      <c r="F159" s="183" t="s">
        <v>449</v>
      </c>
      <c r="G159" s="731" t="s">
        <v>448</v>
      </c>
      <c r="H159" s="7" t="s">
        <v>390</v>
      </c>
      <c r="I159" s="247">
        <v>175</v>
      </c>
      <c r="J159" s="247">
        <v>10546</v>
      </c>
      <c r="K159" s="37">
        <f>ROUND(I159*J159,0)</f>
        <v>1845550</v>
      </c>
      <c r="L159" s="188" t="s">
        <v>375</v>
      </c>
      <c r="M159" s="188" t="s">
        <v>8</v>
      </c>
      <c r="N159" s="49" t="str">
        <f>IF(AND('331-CT'!$E$7=TH!H159,OR(L159="331",M159="331")),"331",IF(AND(OR(L159="131",M159="131"),H159='131-CT'!$E$7),"131",""))</f>
        <v>331</v>
      </c>
      <c r="O159" s="49" t="str">
        <f>IF(AND($B159&gt;='111'!$N$11,$B159&lt;='111'!$O$11,OR($L159=$O$7,$M159=$O$7)),"x","")</f>
        <v/>
      </c>
      <c r="P159" s="49" t="str">
        <f>IF(AND($L159=$O$7,$B159&lt;'111'!$N$11),"x","")</f>
        <v/>
      </c>
      <c r="Q159" s="49" t="str">
        <f>IF(AND($M159=$O$7,$B159&lt;'111'!$N$11),"x","")</f>
        <v/>
      </c>
      <c r="R159" s="49" t="str">
        <f>IF(ISERROR(FIND('112'!$M$9,G159,1)),"",IF((AND(FIND('112'!$M$9,G159,1)&gt;=1,$B159&gt;='112'!$N$8,$B159&lt;='112'!$O$8,OR($L159='112'!$I$6,$M159='112'!$I$6))),"x",""))</f>
        <v/>
      </c>
      <c r="S159" s="49" t="str">
        <f>IF(ISERROR(FIND('112'!$M$9,G159,1)),"",IF((AND(LEFT(G159,2)=LEFT('112'!$M$9,2),B159&lt;'112'!$N$8,$L159='112'!$I$6)),"x",""))</f>
        <v/>
      </c>
      <c r="T159" s="49" t="str">
        <f>IF(ISERROR(FIND('112'!$M$9,G159,1)),"",IF((AND(RIGHT(G159,2)=RIGHT('112'!$M$9,2),B159&lt;'112'!$N$8,$M159='112'!$I$6)),"x",""))</f>
        <v/>
      </c>
      <c r="U159" s="49" t="str">
        <f>IF(AND(L159="154",'154'!$O$5&lt;=B159,'154'!$P$5&gt;=B159),"154",IF(AND(L159="632",'632'!$L$5&lt;=B159,'632'!$M$5&gt;=B159),"632",IF(AND(L159="642",'642'!$N$5&lt;=B159,'642'!$O$5&gt;=B159),"642",IF(AND(L159="641",'641'!$N$5&lt;=B159,'641'!$O$5&gt;=B159),"641",""))))</f>
        <v/>
      </c>
      <c r="V159" s="49" t="str">
        <f>IF(OR(TH!L159=TH!$V$7,M159=TH!$V$7),"x","")</f>
        <v/>
      </c>
      <c r="W159" s="49" t="str">
        <f>IF(AND(B159&gt;='IN-NX'!$P$3,B159&lt;='IN-NX'!$Q$3,'IN-NX'!$D$7=D159,OR(LEFT(L159,2)="15",AND(LEFT(M159,2)&lt;&gt;"15",LEFT(M159,2)&lt;&gt;"33"))),"x","")</f>
        <v/>
      </c>
      <c r="X159" s="49" t="str">
        <f>IF(AND(OR(LEFT(TH!L159,2)="15",LEFT(TH!M159,2)="15"),'152-CT'!$J$8=TH!F159),"x","")</f>
        <v/>
      </c>
      <c r="Y159" s="49" t="str">
        <f>IF(AND(OR(LEFT(TH!L159,2)="15",LEFT(TH!M159,2)="15"),TK!$E$7=TH!F159),"x","")</f>
        <v/>
      </c>
      <c r="Z159" s="49" t="str">
        <f>IF(AND(B159&lt;=NKC!$N$8,B159&gt;=NKC!$M$8),"x","")</f>
        <v/>
      </c>
      <c r="AA159" s="723"/>
      <c r="AB159" s="199"/>
      <c r="AC159" s="199"/>
      <c r="AD159" s="199"/>
    </row>
    <row r="160" spans="1:30" s="199" customFormat="1" ht="15.75" hidden="1" customHeight="1">
      <c r="A160" s="724" t="str">
        <f>IF(B160&lt;&gt;"",IF(AND(B160&gt;=_TM1,B160&lt;=_TM2,OR(TH!L160="1111",TH!M160="1111")),TH!D160,""),"")</f>
        <v/>
      </c>
      <c r="B160" s="36">
        <f t="shared" si="11"/>
        <v>11</v>
      </c>
      <c r="C160" s="185">
        <f t="shared" si="12"/>
        <v>41230</v>
      </c>
      <c r="D160" s="185" t="s">
        <v>510</v>
      </c>
      <c r="E160" s="178">
        <v>41230</v>
      </c>
      <c r="F160" s="183" t="s">
        <v>429</v>
      </c>
      <c r="G160" s="731" t="s">
        <v>448</v>
      </c>
      <c r="H160" s="7" t="s">
        <v>390</v>
      </c>
      <c r="I160" s="247">
        <v>600</v>
      </c>
      <c r="J160" s="247">
        <v>8556</v>
      </c>
      <c r="K160" s="37">
        <f>ROUND(I160*J160,0)</f>
        <v>5133600</v>
      </c>
      <c r="L160" s="188" t="s">
        <v>375</v>
      </c>
      <c r="M160" s="188" t="s">
        <v>8</v>
      </c>
      <c r="N160" s="49" t="str">
        <f>IF(AND('331-CT'!$E$7=TH!H160,OR(L160="331",M160="331")),"331",IF(AND(OR(L160="131",M160="131"),H160='131-CT'!$E$7),"131",""))</f>
        <v>331</v>
      </c>
      <c r="O160" s="49" t="str">
        <f>IF(AND($B160&gt;='111'!$N$11,$B160&lt;='111'!$O$11,OR($L160=$O$7,$M160=$O$7)),"x","")</f>
        <v/>
      </c>
      <c r="P160" s="49" t="str">
        <f>IF(AND($L160=$O$7,$B160&lt;'111'!$N$11),"x","")</f>
        <v/>
      </c>
      <c r="Q160" s="49" t="str">
        <f>IF(AND($M160=$O$7,$B160&lt;'111'!$N$11),"x","")</f>
        <v/>
      </c>
      <c r="R160" s="49" t="str">
        <f>IF(ISERROR(FIND('112'!$M$9,G160,1)),"",IF((AND(FIND('112'!$M$9,G160,1)&gt;=1,$B160&gt;='112'!$N$8,$B160&lt;='112'!$O$8,OR($L160='112'!$I$6,$M160='112'!$I$6))),"x",""))</f>
        <v/>
      </c>
      <c r="S160" s="49" t="str">
        <f>IF(ISERROR(FIND('112'!$M$9,G160,1)),"",IF((AND(LEFT(G160,2)=LEFT('112'!$M$9,2),B160&lt;'112'!$N$8,$L160='112'!$I$6)),"x",""))</f>
        <v/>
      </c>
      <c r="T160" s="49" t="str">
        <f>IF(ISERROR(FIND('112'!$M$9,G160,1)),"",IF((AND(RIGHT(G160,2)=RIGHT('112'!$M$9,2),B160&lt;'112'!$N$8,$M160='112'!$I$6)),"x",""))</f>
        <v/>
      </c>
      <c r="U160" s="49" t="str">
        <f>IF(AND(L160="154",'154'!$O$5&lt;=B160,'154'!$P$5&gt;=B160),"154",IF(AND(L160="632",'632'!$L$5&lt;=B160,'632'!$M$5&gt;=B160),"632",IF(AND(L160="642",'642'!$N$5&lt;=B160,'642'!$O$5&gt;=B160),"642",IF(AND(L160="641",'641'!$N$5&lt;=B160,'641'!$O$5&gt;=B160),"641",""))))</f>
        <v/>
      </c>
      <c r="V160" s="49" t="str">
        <f>IF(OR(TH!L160=TH!$V$7,M160=TH!$V$7),"x","")</f>
        <v/>
      </c>
      <c r="W160" s="49" t="str">
        <f>IF(AND(B160&gt;='IN-NX'!$P$3,B160&lt;='IN-NX'!$Q$3,'IN-NX'!$D$7=D160,OR(LEFT(L160,2)="15",AND(LEFT(M160,2)&lt;&gt;"15",LEFT(M160,2)&lt;&gt;"33"))),"x","")</f>
        <v/>
      </c>
      <c r="X160" s="49" t="str">
        <f>IF(AND(OR(LEFT(TH!L160,2)="15",LEFT(TH!M160,2)="15"),'152-CT'!$J$8=TH!F160),"x","")</f>
        <v/>
      </c>
      <c r="Y160" s="49" t="str">
        <f>IF(AND(OR(LEFT(TH!L160,2)="15",LEFT(TH!M160,2)="15"),TK!$E$7=TH!F160),"x","")</f>
        <v/>
      </c>
      <c r="Z160" s="49" t="str">
        <f>IF(AND(B160&lt;=NKC!$N$8,B160&gt;=NKC!$M$8),"x","")</f>
        <v/>
      </c>
      <c r="AA160" s="723"/>
    </row>
    <row r="161" spans="1:30" s="497" customFormat="1" ht="15.75" customHeight="1">
      <c r="A161" s="724" t="str">
        <f>IF(B161&lt;&gt;"",IF(AND(B161&gt;=_TM1,B161&lt;=_TM2,OR(TH!L161="1111",TH!M161="1111")),TH!D161,""),"")</f>
        <v/>
      </c>
      <c r="B161" s="36">
        <f t="shared" si="11"/>
        <v>11</v>
      </c>
      <c r="C161" s="185">
        <f t="shared" si="12"/>
        <v>41230</v>
      </c>
      <c r="D161" s="185" t="s">
        <v>510</v>
      </c>
      <c r="E161" s="178">
        <v>41230</v>
      </c>
      <c r="F161" s="183" t="s">
        <v>392</v>
      </c>
      <c r="G161" s="731" t="s">
        <v>448</v>
      </c>
      <c r="H161" s="7" t="s">
        <v>390</v>
      </c>
      <c r="I161" s="247"/>
      <c r="J161" s="247"/>
      <c r="K161" s="37">
        <v>1726515</v>
      </c>
      <c r="L161" s="188" t="s">
        <v>9</v>
      </c>
      <c r="M161" s="188" t="s">
        <v>8</v>
      </c>
      <c r="N161" s="49" t="str">
        <f>IF(AND('331-CT'!$E$7=TH!H161,OR(L161="331",M161="331")),"331",IF(AND(OR(L161="131",M161="131"),H161='131-CT'!$E$7),"131",""))</f>
        <v>331</v>
      </c>
      <c r="O161" s="49" t="str">
        <f>IF(AND($B161&gt;='111'!$N$11,$B161&lt;='111'!$O$11,OR($L161=$O$7,$M161=$O$7)),"x","")</f>
        <v/>
      </c>
      <c r="P161" s="49" t="str">
        <f>IF(AND($L161=$O$7,$B161&lt;'111'!$N$11),"x","")</f>
        <v/>
      </c>
      <c r="Q161" s="49" t="str">
        <f>IF(AND($M161=$O$7,$B161&lt;'111'!$N$11),"x","")</f>
        <v/>
      </c>
      <c r="R161" s="49" t="str">
        <f>IF(ISERROR(FIND('112'!$M$9,G161,1)),"",IF((AND(FIND('112'!$M$9,G161,1)&gt;=1,$B161&gt;='112'!$N$8,$B161&lt;='112'!$O$8,OR($L161='112'!$I$6,$M161='112'!$I$6))),"x",""))</f>
        <v/>
      </c>
      <c r="S161" s="49" t="str">
        <f>IF(ISERROR(FIND('112'!$M$9,G161,1)),"",IF((AND(LEFT(G161,2)=LEFT('112'!$M$9,2),B161&lt;'112'!$N$8,$L161='112'!$I$6)),"x",""))</f>
        <v/>
      </c>
      <c r="T161" s="49" t="str">
        <f>IF(ISERROR(FIND('112'!$M$9,G161,1)),"",IF((AND(RIGHT(G161,2)=RIGHT('112'!$M$9,2),B161&lt;'112'!$N$8,$M161='112'!$I$6)),"x",""))</f>
        <v/>
      </c>
      <c r="U161" s="49" t="str">
        <f>IF(AND(L161="154",'154'!$O$5&lt;=B161,'154'!$P$5&gt;=B161),"154",IF(AND(L161="632",'632'!$L$5&lt;=B161,'632'!$M$5&gt;=B161),"632",IF(AND(L161="642",'642'!$N$5&lt;=B161,'642'!$O$5&gt;=B161),"642",IF(AND(L161="641",'641'!$N$5&lt;=B161,'641'!$O$5&gt;=B161),"641",""))))</f>
        <v/>
      </c>
      <c r="V161" s="49" t="str">
        <f>IF(OR(TH!L161=TH!$V$7,M161=TH!$V$7),"x","")</f>
        <v>x</v>
      </c>
      <c r="W161" s="49" t="str">
        <f>IF(AND(B161&gt;='IN-NX'!$P$3,B161&lt;='IN-NX'!$Q$3,'IN-NX'!$D$7=D161,OR(LEFT(L161,2)="15",AND(LEFT(M161,2)&lt;&gt;"15",LEFT(M161,2)&lt;&gt;"33"))),"x","")</f>
        <v/>
      </c>
      <c r="X161" s="49" t="str">
        <f>IF(AND(OR(LEFT(TH!L161,2)="15",LEFT(TH!M161,2)="15"),'152-CT'!$J$8=TH!F161),"x","")</f>
        <v/>
      </c>
      <c r="Y161" s="49" t="str">
        <f>IF(AND(OR(LEFT(TH!L161,2)="15",LEFT(TH!M161,2)="15"),TK!$E$7=TH!F161),"x","")</f>
        <v/>
      </c>
      <c r="Z161" s="49" t="str">
        <f>IF(AND(B161&lt;=NKC!$N$8,B161&gt;=NKC!$M$8),"x","")</f>
        <v/>
      </c>
      <c r="AA161" s="723"/>
      <c r="AB161" s="199"/>
      <c r="AC161" s="199"/>
      <c r="AD161" s="199"/>
    </row>
    <row r="162" spans="1:30" s="497" customFormat="1" ht="15.75" hidden="1" customHeight="1">
      <c r="A162" s="724" t="str">
        <f>IF(B162&lt;&gt;"",IF(AND(B162&gt;=_TM1,B162&lt;=_TM2,OR(TH!L162="1111",TH!M162="1111")),TH!D162,""),"")</f>
        <v>C16</v>
      </c>
      <c r="B162" s="36">
        <f t="shared" si="11"/>
        <v>11</v>
      </c>
      <c r="C162" s="185">
        <f t="shared" si="12"/>
        <v>41230</v>
      </c>
      <c r="D162" s="185" t="s">
        <v>511</v>
      </c>
      <c r="E162" s="178">
        <v>41230</v>
      </c>
      <c r="F162" s="183" t="s">
        <v>486</v>
      </c>
      <c r="G162" s="731" t="s">
        <v>448</v>
      </c>
      <c r="H162" s="7" t="s">
        <v>390</v>
      </c>
      <c r="I162" s="247"/>
      <c r="J162" s="247"/>
      <c r="K162" s="37">
        <v>18991665</v>
      </c>
      <c r="L162" s="188" t="s">
        <v>8</v>
      </c>
      <c r="M162" s="188" t="s">
        <v>47</v>
      </c>
      <c r="N162" s="49" t="str">
        <f>IF(AND('331-CT'!$E$7=TH!H162,OR(L162="331",M162="331")),"331",IF(AND(OR(L162="131",M162="131"),H162='131-CT'!$E$7),"131",""))</f>
        <v>331</v>
      </c>
      <c r="O162" s="49" t="str">
        <f>IF(AND($B162&gt;='111'!$N$11,$B162&lt;='111'!$O$11,OR($L162=$O$7,$M162=$O$7)),"x","")</f>
        <v>x</v>
      </c>
      <c r="P162" s="49" t="str">
        <f>IF(AND($L162=$O$7,$B162&lt;'111'!$N$11),"x","")</f>
        <v/>
      </c>
      <c r="Q162" s="49" t="str">
        <f>IF(AND($M162=$O$7,$B162&lt;'111'!$N$11),"x","")</f>
        <v/>
      </c>
      <c r="R162" s="49" t="str">
        <f>IF(ISERROR(FIND('112'!$M$9,G162,1)),"",IF((AND(FIND('112'!$M$9,G162,1)&gt;=1,$B162&gt;='112'!$N$8,$B162&lt;='112'!$O$8,OR($L162='112'!$I$6,$M162='112'!$I$6))),"x",""))</f>
        <v/>
      </c>
      <c r="S162" s="49" t="str">
        <f>IF(ISERROR(FIND('112'!$M$9,G162,1)),"",IF((AND(LEFT(G162,2)=LEFT('112'!$M$9,2),B162&lt;'112'!$N$8,$L162='112'!$I$6)),"x",""))</f>
        <v/>
      </c>
      <c r="T162" s="49" t="str">
        <f>IF(ISERROR(FIND('112'!$M$9,G162,1)),"",IF((AND(RIGHT(G162,2)=RIGHT('112'!$M$9,2),B162&lt;'112'!$N$8,$M162='112'!$I$6)),"x",""))</f>
        <v/>
      </c>
      <c r="U162" s="49" t="str">
        <f>IF(AND(L162="154",'154'!$O$5&lt;=B162,'154'!$P$5&gt;=B162),"154",IF(AND(L162="632",'632'!$L$5&lt;=B162,'632'!$M$5&gt;=B162),"632",IF(AND(L162="642",'642'!$N$5&lt;=B162,'642'!$O$5&gt;=B162),"642",IF(AND(L162="641",'641'!$N$5&lt;=B162,'641'!$O$5&gt;=B162),"641",""))))</f>
        <v/>
      </c>
      <c r="V162" s="49" t="str">
        <f>IF(OR(TH!L162=TH!$V$7,M162=TH!$V$7),"x","")</f>
        <v/>
      </c>
      <c r="W162" s="49" t="str">
        <f>IF(AND(B162&gt;='IN-NX'!$P$3,B162&lt;='IN-NX'!$Q$3,'IN-NX'!$D$7=D162,OR(LEFT(L162,2)="15",AND(LEFT(M162,2)&lt;&gt;"15",LEFT(M162,2)&lt;&gt;"33"))),"x","")</f>
        <v/>
      </c>
      <c r="X162" s="49" t="str">
        <f>IF(AND(OR(LEFT(TH!L162,2)="15",LEFT(TH!M162,2)="15"),'152-CT'!$J$8=TH!F162),"x","")</f>
        <v/>
      </c>
      <c r="Y162" s="49" t="str">
        <f>IF(AND(OR(LEFT(TH!L162,2)="15",LEFT(TH!M162,2)="15"),TK!$E$7=TH!F162),"x","")</f>
        <v/>
      </c>
      <c r="Z162" s="49" t="str">
        <f>IF(AND(B162&lt;=NKC!$N$8,B162&gt;=NKC!$M$8),"x","")</f>
        <v/>
      </c>
      <c r="AA162" s="723"/>
      <c r="AC162" s="199"/>
      <c r="AD162" s="199"/>
    </row>
    <row r="163" spans="1:30" s="497" customFormat="1" ht="15.75" hidden="1" customHeight="1">
      <c r="A163" s="724" t="str">
        <f>IF(B163&lt;&gt;"",IF(AND(B163&gt;=_TM1,B163&lt;=_TM2,OR(TH!L163="1111",TH!M163="1111")),TH!D163,""),"")</f>
        <v>C17</v>
      </c>
      <c r="B163" s="36">
        <f t="shared" si="11"/>
        <v>11</v>
      </c>
      <c r="C163" s="185">
        <f t="shared" si="12"/>
        <v>41233</v>
      </c>
      <c r="D163" s="185" t="s">
        <v>512</v>
      </c>
      <c r="E163" s="178">
        <v>41233</v>
      </c>
      <c r="F163" s="186" t="s">
        <v>379</v>
      </c>
      <c r="G163" s="731" t="s">
        <v>445</v>
      </c>
      <c r="H163" s="198" t="s">
        <v>378</v>
      </c>
      <c r="I163" s="247"/>
      <c r="J163" s="247"/>
      <c r="K163" s="37">
        <f>72727+181818</f>
        <v>254545</v>
      </c>
      <c r="L163" s="188" t="s">
        <v>83</v>
      </c>
      <c r="M163" s="188" t="s">
        <v>47</v>
      </c>
      <c r="N163" s="49" t="str">
        <f>IF(AND('331-CT'!$E$7=TH!H163,OR(L163="331",M163="331")),"331",IF(AND(OR(L163="131",M163="131"),H163='131-CT'!$E$7),"131",""))</f>
        <v/>
      </c>
      <c r="O163" s="49" t="str">
        <f>IF(AND($B163&gt;='111'!$N$11,$B163&lt;='111'!$O$11,OR($L163=$O$7,$M163=$O$7)),"x","")</f>
        <v>x</v>
      </c>
      <c r="P163" s="49" t="str">
        <f>IF(AND($L163=$O$7,$B163&lt;'111'!$N$11),"x","")</f>
        <v/>
      </c>
      <c r="Q163" s="49" t="str">
        <f>IF(AND($M163=$O$7,$B163&lt;'111'!$N$11),"x","")</f>
        <v/>
      </c>
      <c r="R163" s="49" t="str">
        <f>IF(ISERROR(FIND('112'!$M$9,G163,1)),"",IF((AND(FIND('112'!$M$9,G163,1)&gt;=1,$B163&gt;='112'!$N$8,$B163&lt;='112'!$O$8,OR($L163='112'!$I$6,$M163='112'!$I$6))),"x",""))</f>
        <v/>
      </c>
      <c r="S163" s="49" t="str">
        <f>IF(ISERROR(FIND('112'!$M$9,G163,1)),"",IF((AND(LEFT(G163,2)=LEFT('112'!$M$9,2),B163&lt;'112'!$N$8,$L163='112'!$I$6)),"x",""))</f>
        <v/>
      </c>
      <c r="T163" s="49" t="str">
        <f>IF(ISERROR(FIND('112'!$M$9,G163,1)),"",IF((AND(RIGHT(G163,2)=RIGHT('112'!$M$9,2),B163&lt;'112'!$N$8,$M163='112'!$I$6)),"x",""))</f>
        <v/>
      </c>
      <c r="U163" s="49" t="str">
        <f>IF(AND(L163="154",'154'!$O$5&lt;=B163,'154'!$P$5&gt;=B163),"154",IF(AND(L163="632",'632'!$L$5&lt;=B163,'632'!$M$5&gt;=B163),"632",IF(AND(L163="642",'642'!$N$5&lt;=B163,'642'!$O$5&gt;=B163),"642",IF(AND(L163="641",'641'!$N$5&lt;=B163,'641'!$O$5&gt;=B163),"641",""))))</f>
        <v/>
      </c>
      <c r="V163" s="49" t="str">
        <f>IF(OR(TH!L163=TH!$V$7,M163=TH!$V$7),"x","")</f>
        <v/>
      </c>
      <c r="W163" s="49" t="str">
        <f>IF(AND(B163&gt;='IN-NX'!$P$3,B163&lt;='IN-NX'!$Q$3,'IN-NX'!$D$7=D163,OR(LEFT(L163,2)="15",AND(LEFT(M163,2)&lt;&gt;"15",LEFT(M163,2)&lt;&gt;"33"))),"x","")</f>
        <v/>
      </c>
      <c r="X163" s="49" t="str">
        <f>IF(AND(OR(LEFT(TH!L163,2)="15",LEFT(TH!M163,2)="15"),'152-CT'!$J$8=TH!F163),"x","")</f>
        <v/>
      </c>
      <c r="Y163" s="49" t="str">
        <f>IF(AND(OR(LEFT(TH!L163,2)="15",LEFT(TH!M163,2)="15"),TK!$E$7=TH!F163),"x","")</f>
        <v/>
      </c>
      <c r="Z163" s="49" t="str">
        <f>IF(AND(B163&lt;=NKC!$N$8,B163&gt;=NKC!$M$8),"x","")</f>
        <v/>
      </c>
      <c r="AA163" s="723"/>
      <c r="AC163" s="199"/>
      <c r="AD163" s="199"/>
    </row>
    <row r="164" spans="1:30" s="497" customFormat="1" ht="15.75" customHeight="1">
      <c r="A164" s="724" t="str">
        <f>IF(B164&lt;&gt;"",IF(AND(B164&gt;=_TM1,B164&lt;=_TM2,OR(TH!L164="1111",TH!M164="1111")),TH!D164,""),"")</f>
        <v>C17</v>
      </c>
      <c r="B164" s="36">
        <f t="shared" si="11"/>
        <v>11</v>
      </c>
      <c r="C164" s="185">
        <f t="shared" si="12"/>
        <v>41233</v>
      </c>
      <c r="D164" s="185" t="s">
        <v>512</v>
      </c>
      <c r="E164" s="178">
        <v>41233</v>
      </c>
      <c r="F164" s="186" t="s">
        <v>380</v>
      </c>
      <c r="G164" s="731" t="s">
        <v>445</v>
      </c>
      <c r="H164" s="198" t="s">
        <v>378</v>
      </c>
      <c r="I164" s="247"/>
      <c r="J164" s="247"/>
      <c r="K164" s="37">
        <f>7273+18182</f>
        <v>25455</v>
      </c>
      <c r="L164" s="188" t="s">
        <v>9</v>
      </c>
      <c r="M164" s="188" t="s">
        <v>47</v>
      </c>
      <c r="N164" s="49" t="str">
        <f>IF(AND('331-CT'!$E$7=TH!H164,OR(L164="331",M164="331")),"331",IF(AND(OR(L164="131",M164="131"),H164='131-CT'!$E$7),"131",""))</f>
        <v/>
      </c>
      <c r="O164" s="49" t="str">
        <f>IF(AND($B164&gt;='111'!$N$11,$B164&lt;='111'!$O$11,OR($L164=$O$7,$M164=$O$7)),"x","")</f>
        <v>x</v>
      </c>
      <c r="P164" s="49" t="str">
        <f>IF(AND($L164=$O$7,$B164&lt;'111'!$N$11),"x","")</f>
        <v/>
      </c>
      <c r="Q164" s="49" t="str">
        <f>IF(AND($M164=$O$7,$B164&lt;'111'!$N$11),"x","")</f>
        <v/>
      </c>
      <c r="R164" s="49" t="str">
        <f>IF(ISERROR(FIND('112'!$M$9,G164,1)),"",IF((AND(FIND('112'!$M$9,G164,1)&gt;=1,$B164&gt;='112'!$N$8,$B164&lt;='112'!$O$8,OR($L164='112'!$I$6,$M164='112'!$I$6))),"x",""))</f>
        <v/>
      </c>
      <c r="S164" s="49" t="str">
        <f>IF(ISERROR(FIND('112'!$M$9,G164,1)),"",IF((AND(LEFT(G164,2)=LEFT('112'!$M$9,2),B164&lt;'112'!$N$8,$L164='112'!$I$6)),"x",""))</f>
        <v/>
      </c>
      <c r="T164" s="49" t="str">
        <f>IF(ISERROR(FIND('112'!$M$9,G164,1)),"",IF((AND(RIGHT(G164,2)=RIGHT('112'!$M$9,2),B164&lt;'112'!$N$8,$M164='112'!$I$6)),"x",""))</f>
        <v/>
      </c>
      <c r="U164" s="49" t="str">
        <f>IF(AND(L164="154",'154'!$O$5&lt;=B164,'154'!$P$5&gt;=B164),"154",IF(AND(L164="632",'632'!$L$5&lt;=B164,'632'!$M$5&gt;=B164),"632",IF(AND(L164="642",'642'!$N$5&lt;=B164,'642'!$O$5&gt;=B164),"642",IF(AND(L164="641",'641'!$N$5&lt;=B164,'641'!$O$5&gt;=B164),"641",""))))</f>
        <v/>
      </c>
      <c r="V164" s="49" t="str">
        <f>IF(OR(TH!L164=TH!$V$7,M164=TH!$V$7),"x","")</f>
        <v>x</v>
      </c>
      <c r="W164" s="49" t="str">
        <f>IF(AND(B164&gt;='IN-NX'!$P$3,B164&lt;='IN-NX'!$Q$3,'IN-NX'!$D$7=D164,OR(LEFT(L164,2)="15",AND(LEFT(M164,2)&lt;&gt;"15",LEFT(M164,2)&lt;&gt;"33"))),"x","")</f>
        <v/>
      </c>
      <c r="X164" s="49" t="str">
        <f>IF(AND(OR(LEFT(TH!L164,2)="15",LEFT(TH!M164,2)="15"),'152-CT'!$J$8=TH!F164),"x","")</f>
        <v/>
      </c>
      <c r="Y164" s="49" t="str">
        <f>IF(AND(OR(LEFT(TH!L164,2)="15",LEFT(TH!M164,2)="15"),TK!$E$7=TH!F164),"x","")</f>
        <v/>
      </c>
      <c r="Z164" s="49" t="str">
        <f>IF(AND(B164&lt;=NKC!$N$8,B164&gt;=NKC!$M$8),"x","")</f>
        <v/>
      </c>
      <c r="AA164" s="723"/>
      <c r="AC164" s="199"/>
      <c r="AD164" s="199"/>
    </row>
    <row r="165" spans="1:30" s="497" customFormat="1" ht="15.75" hidden="1" customHeight="1">
      <c r="A165" s="724" t="str">
        <f>IF(B165&lt;&gt;"",IF(AND(B165&gt;=_TM1,B165&lt;=_TM2,OR(TH!L165="1111",TH!M165="1111")),TH!D165,""),"")</f>
        <v/>
      </c>
      <c r="B165" s="36">
        <f t="shared" si="11"/>
        <v>11</v>
      </c>
      <c r="C165" s="185">
        <f t="shared" si="12"/>
        <v>41235</v>
      </c>
      <c r="D165" s="185" t="s">
        <v>513</v>
      </c>
      <c r="E165" s="178">
        <v>41235</v>
      </c>
      <c r="F165" s="183" t="s">
        <v>451</v>
      </c>
      <c r="G165" s="731" t="s">
        <v>450</v>
      </c>
      <c r="H165" s="7" t="s">
        <v>390</v>
      </c>
      <c r="I165" s="247">
        <v>800</v>
      </c>
      <c r="J165" s="247">
        <v>11693</v>
      </c>
      <c r="K165" s="37">
        <f>ROUND(I165*J165,0)</f>
        <v>9354400</v>
      </c>
      <c r="L165" s="188" t="s">
        <v>375</v>
      </c>
      <c r="M165" s="188" t="s">
        <v>8</v>
      </c>
      <c r="N165" s="49" t="str">
        <f>IF(AND('331-CT'!$E$7=TH!H165,OR(L165="331",M165="331")),"331",IF(AND(OR(L165="131",M165="131"),H165='131-CT'!$E$7),"131",""))</f>
        <v>331</v>
      </c>
      <c r="O165" s="49" t="str">
        <f>IF(AND($B165&gt;='111'!$N$11,$B165&lt;='111'!$O$11,OR($L165=$O$7,$M165=$O$7)),"x","")</f>
        <v/>
      </c>
      <c r="P165" s="49" t="str">
        <f>IF(AND($L165=$O$7,$B165&lt;'111'!$N$11),"x","")</f>
        <v/>
      </c>
      <c r="Q165" s="49" t="str">
        <f>IF(AND($M165=$O$7,$B165&lt;'111'!$N$11),"x","")</f>
        <v/>
      </c>
      <c r="R165" s="49" t="str">
        <f>IF(ISERROR(FIND('112'!$M$9,G165,1)),"",IF((AND(FIND('112'!$M$9,G165,1)&gt;=1,$B165&gt;='112'!$N$8,$B165&lt;='112'!$O$8,OR($L165='112'!$I$6,$M165='112'!$I$6))),"x",""))</f>
        <v/>
      </c>
      <c r="S165" s="49" t="str">
        <f>IF(ISERROR(FIND('112'!$M$9,G165,1)),"",IF((AND(LEFT(G165,2)=LEFT('112'!$M$9,2),B165&lt;'112'!$N$8,$L165='112'!$I$6)),"x",""))</f>
        <v/>
      </c>
      <c r="T165" s="49" t="str">
        <f>IF(ISERROR(FIND('112'!$M$9,G165,1)),"",IF((AND(RIGHT(G165,2)=RIGHT('112'!$M$9,2),B165&lt;'112'!$N$8,$M165='112'!$I$6)),"x",""))</f>
        <v/>
      </c>
      <c r="U165" s="49" t="str">
        <f>IF(AND(L165="154",'154'!$O$5&lt;=B165,'154'!$P$5&gt;=B165),"154",IF(AND(L165="632",'632'!$L$5&lt;=B165,'632'!$M$5&gt;=B165),"632",IF(AND(L165="642",'642'!$N$5&lt;=B165,'642'!$O$5&gt;=B165),"642",IF(AND(L165="641",'641'!$N$5&lt;=B165,'641'!$O$5&gt;=B165),"641",""))))</f>
        <v/>
      </c>
      <c r="V165" s="49" t="str">
        <f>IF(OR(TH!L165=TH!$V$7,M165=TH!$V$7),"x","")</f>
        <v/>
      </c>
      <c r="W165" s="49" t="str">
        <f>IF(AND(B165&gt;='IN-NX'!$P$3,B165&lt;='IN-NX'!$Q$3,'IN-NX'!$D$7=D165,OR(LEFT(L165,2)="15",AND(LEFT(M165,2)&lt;&gt;"15",LEFT(M165,2)&lt;&gt;"33"))),"x","")</f>
        <v/>
      </c>
      <c r="X165" s="49" t="str">
        <f>IF(AND(OR(LEFT(TH!L165,2)="15",LEFT(TH!M165,2)="15"),'152-CT'!$J$8=TH!F165),"x","")</f>
        <v/>
      </c>
      <c r="Y165" s="49" t="str">
        <f>IF(AND(OR(LEFT(TH!L165,2)="15",LEFT(TH!M165,2)="15"),TK!$E$7=TH!F165),"x","")</f>
        <v/>
      </c>
      <c r="Z165" s="49" t="str">
        <f>IF(AND(B165&lt;=NKC!$N$8,B165&gt;=NKC!$M$8),"x","")</f>
        <v/>
      </c>
      <c r="AA165" s="723"/>
      <c r="AB165" s="199"/>
      <c r="AC165" s="199"/>
      <c r="AD165" s="199"/>
    </row>
    <row r="166" spans="1:30" s="497" customFormat="1" ht="15.75" hidden="1" customHeight="1">
      <c r="A166" s="724" t="str">
        <f>IF(B166&lt;&gt;"",IF(AND(B166&gt;=_TM1,B166&lt;=_TM2,OR(TH!L166="1111",TH!M166="1111")),TH!D166,""),"")</f>
        <v/>
      </c>
      <c r="B166" s="36">
        <f t="shared" si="11"/>
        <v>11</v>
      </c>
      <c r="C166" s="185">
        <f t="shared" si="12"/>
        <v>41235</v>
      </c>
      <c r="D166" s="185" t="s">
        <v>513</v>
      </c>
      <c r="E166" s="178">
        <v>41235</v>
      </c>
      <c r="F166" s="183" t="s">
        <v>452</v>
      </c>
      <c r="G166" s="731" t="s">
        <v>450</v>
      </c>
      <c r="H166" s="7" t="s">
        <v>390</v>
      </c>
      <c r="I166" s="247">
        <v>320</v>
      </c>
      <c r="J166" s="247">
        <v>19110</v>
      </c>
      <c r="K166" s="37">
        <f>ROUND(I166*J166,0)</f>
        <v>6115200</v>
      </c>
      <c r="L166" s="188" t="s">
        <v>375</v>
      </c>
      <c r="M166" s="188" t="s">
        <v>8</v>
      </c>
      <c r="N166" s="49" t="str">
        <f>IF(AND('331-CT'!$E$7=TH!H166,OR(L166="331",M166="331")),"331",IF(AND(OR(L166="131",M166="131"),H166='131-CT'!$E$7),"131",""))</f>
        <v>331</v>
      </c>
      <c r="O166" s="49" t="str">
        <f>IF(AND($B166&gt;='111'!$N$11,$B166&lt;='111'!$O$11,OR($L166=$O$7,$M166=$O$7)),"x","")</f>
        <v/>
      </c>
      <c r="P166" s="49" t="str">
        <f>IF(AND($L166=$O$7,$B166&lt;'111'!$N$11),"x","")</f>
        <v/>
      </c>
      <c r="Q166" s="49" t="str">
        <f>IF(AND($M166=$O$7,$B166&lt;'111'!$N$11),"x","")</f>
        <v/>
      </c>
      <c r="R166" s="49" t="str">
        <f>IF(ISERROR(FIND('112'!$M$9,G166,1)),"",IF((AND(FIND('112'!$M$9,G166,1)&gt;=1,$B166&gt;='112'!$N$8,$B166&lt;='112'!$O$8,OR($L166='112'!$I$6,$M166='112'!$I$6))),"x",""))</f>
        <v/>
      </c>
      <c r="S166" s="49" t="str">
        <f>IF(ISERROR(FIND('112'!$M$9,G166,1)),"",IF((AND(LEFT(G166,2)=LEFT('112'!$M$9,2),B166&lt;'112'!$N$8,$L166='112'!$I$6)),"x",""))</f>
        <v/>
      </c>
      <c r="T166" s="49" t="str">
        <f>IF(ISERROR(FIND('112'!$M$9,G166,1)),"",IF((AND(RIGHT(G166,2)=RIGHT('112'!$M$9,2),B166&lt;'112'!$N$8,$M166='112'!$I$6)),"x",""))</f>
        <v/>
      </c>
      <c r="U166" s="49" t="str">
        <f>IF(AND(L166="154",'154'!$O$5&lt;=B166,'154'!$P$5&gt;=B166),"154",IF(AND(L166="632",'632'!$L$5&lt;=B166,'632'!$M$5&gt;=B166),"632",IF(AND(L166="642",'642'!$N$5&lt;=B166,'642'!$O$5&gt;=B166),"642",IF(AND(L166="641",'641'!$N$5&lt;=B166,'641'!$O$5&gt;=B166),"641",""))))</f>
        <v/>
      </c>
      <c r="V166" s="49" t="str">
        <f>IF(OR(TH!L166=TH!$V$7,M166=TH!$V$7),"x","")</f>
        <v/>
      </c>
      <c r="W166" s="49" t="str">
        <f>IF(AND(B166&gt;='IN-NX'!$P$3,B166&lt;='IN-NX'!$Q$3,'IN-NX'!$D$7=D166,OR(LEFT(L166,2)="15",AND(LEFT(M166,2)&lt;&gt;"15",LEFT(M166,2)&lt;&gt;"33"))),"x","")</f>
        <v/>
      </c>
      <c r="X166" s="49" t="str">
        <f>IF(AND(OR(LEFT(TH!L166,2)="15",LEFT(TH!M166,2)="15"),'152-CT'!$J$8=TH!F166),"x","")</f>
        <v/>
      </c>
      <c r="Y166" s="49" t="str">
        <f>IF(AND(OR(LEFT(TH!L166,2)="15",LEFT(TH!M166,2)="15"),TK!$E$7=TH!F166),"x","")</f>
        <v/>
      </c>
      <c r="Z166" s="49" t="str">
        <f>IF(AND(B166&lt;=NKC!$N$8,B166&gt;=NKC!$M$8),"x","")</f>
        <v/>
      </c>
      <c r="AA166" s="723"/>
      <c r="AB166" s="199"/>
      <c r="AC166" s="199"/>
      <c r="AD166" s="199"/>
    </row>
    <row r="167" spans="1:30" s="497" customFormat="1" ht="15.75" customHeight="1">
      <c r="A167" s="724" t="str">
        <f>IF(B167&lt;&gt;"",IF(AND(B167&gt;=_TM1,B167&lt;=_TM2,OR(TH!L167="1111",TH!M167="1111")),TH!D167,""),"")</f>
        <v/>
      </c>
      <c r="B167" s="36">
        <f t="shared" si="11"/>
        <v>11</v>
      </c>
      <c r="C167" s="185">
        <f t="shared" si="12"/>
        <v>41235</v>
      </c>
      <c r="D167" s="185" t="s">
        <v>513</v>
      </c>
      <c r="E167" s="178">
        <v>41235</v>
      </c>
      <c r="F167" s="183" t="s">
        <v>392</v>
      </c>
      <c r="G167" s="731" t="s">
        <v>450</v>
      </c>
      <c r="H167" s="7" t="s">
        <v>390</v>
      </c>
      <c r="I167" s="247"/>
      <c r="J167" s="247"/>
      <c r="K167" s="37">
        <v>1546960</v>
      </c>
      <c r="L167" s="188" t="s">
        <v>9</v>
      </c>
      <c r="M167" s="188" t="s">
        <v>8</v>
      </c>
      <c r="N167" s="49" t="str">
        <f>IF(AND('331-CT'!$E$7=TH!H167,OR(L167="331",M167="331")),"331",IF(AND(OR(L167="131",M167="131"),H167='131-CT'!$E$7),"131",""))</f>
        <v>331</v>
      </c>
      <c r="O167" s="49" t="str">
        <f>IF(AND($B167&gt;='111'!$N$11,$B167&lt;='111'!$O$11,OR($L167=$O$7,$M167=$O$7)),"x","")</f>
        <v/>
      </c>
      <c r="P167" s="49" t="str">
        <f>IF(AND($L167=$O$7,$B167&lt;'111'!$N$11),"x","")</f>
        <v/>
      </c>
      <c r="Q167" s="49" t="str">
        <f>IF(AND($M167=$O$7,$B167&lt;'111'!$N$11),"x","")</f>
        <v/>
      </c>
      <c r="R167" s="49" t="str">
        <f>IF(ISERROR(FIND('112'!$M$9,G167,1)),"",IF((AND(FIND('112'!$M$9,G167,1)&gt;=1,$B167&gt;='112'!$N$8,$B167&lt;='112'!$O$8,OR($L167='112'!$I$6,$M167='112'!$I$6))),"x",""))</f>
        <v/>
      </c>
      <c r="S167" s="49" t="str">
        <f>IF(ISERROR(FIND('112'!$M$9,G167,1)),"",IF((AND(LEFT(G167,2)=LEFT('112'!$M$9,2),B167&lt;'112'!$N$8,$L167='112'!$I$6)),"x",""))</f>
        <v/>
      </c>
      <c r="T167" s="49" t="str">
        <f>IF(ISERROR(FIND('112'!$M$9,G167,1)),"",IF((AND(RIGHT(G167,2)=RIGHT('112'!$M$9,2),B167&lt;'112'!$N$8,$M167='112'!$I$6)),"x",""))</f>
        <v/>
      </c>
      <c r="U167" s="49" t="str">
        <f>IF(AND(L167="154",'154'!$O$5&lt;=B167,'154'!$P$5&gt;=B167),"154",IF(AND(L167="632",'632'!$L$5&lt;=B167,'632'!$M$5&gt;=B167),"632",IF(AND(L167="642",'642'!$N$5&lt;=B167,'642'!$O$5&gt;=B167),"642",IF(AND(L167="641",'641'!$N$5&lt;=B167,'641'!$O$5&gt;=B167),"641",""))))</f>
        <v/>
      </c>
      <c r="V167" s="49" t="str">
        <f>IF(OR(TH!L167=TH!$V$7,M167=TH!$V$7),"x","")</f>
        <v>x</v>
      </c>
      <c r="W167" s="49" t="str">
        <f>IF(AND(B167&gt;='IN-NX'!$P$3,B167&lt;='IN-NX'!$Q$3,'IN-NX'!$D$7=D167,OR(LEFT(L167,2)="15",AND(LEFT(M167,2)&lt;&gt;"15",LEFT(M167,2)&lt;&gt;"33"))),"x","")</f>
        <v/>
      </c>
      <c r="X167" s="49" t="str">
        <f>IF(AND(OR(LEFT(TH!L167,2)="15",LEFT(TH!M167,2)="15"),'152-CT'!$J$8=TH!F167),"x","")</f>
        <v/>
      </c>
      <c r="Y167" s="49" t="str">
        <f>IF(AND(OR(LEFT(TH!L167,2)="15",LEFT(TH!M167,2)="15"),TK!$E$7=TH!F167),"x","")</f>
        <v/>
      </c>
      <c r="Z167" s="49" t="str">
        <f>IF(AND(B167&lt;=NKC!$N$8,B167&gt;=NKC!$M$8),"x","")</f>
        <v/>
      </c>
      <c r="AA167" s="723"/>
      <c r="AB167" s="199"/>
      <c r="AC167" s="199"/>
      <c r="AD167" s="199"/>
    </row>
    <row r="168" spans="1:30" s="497" customFormat="1" ht="15.75" hidden="1" customHeight="1">
      <c r="A168" s="724" t="str">
        <f>IF(B168&lt;&gt;"",IF(AND(B168&gt;=_TM1,B168&lt;=_TM2,OR(TH!L168="1111",TH!M168="1111")),TH!D168,""),"")</f>
        <v>C18</v>
      </c>
      <c r="B168" s="36">
        <f t="shared" si="11"/>
        <v>11</v>
      </c>
      <c r="C168" s="185">
        <f t="shared" si="12"/>
        <v>41235</v>
      </c>
      <c r="D168" s="185" t="s">
        <v>514</v>
      </c>
      <c r="E168" s="178">
        <v>41235</v>
      </c>
      <c r="F168" s="183" t="s">
        <v>486</v>
      </c>
      <c r="G168" s="731" t="s">
        <v>450</v>
      </c>
      <c r="H168" s="7" t="s">
        <v>390</v>
      </c>
      <c r="I168" s="247"/>
      <c r="J168" s="247"/>
      <c r="K168" s="37">
        <v>17016560</v>
      </c>
      <c r="L168" s="188" t="s">
        <v>8</v>
      </c>
      <c r="M168" s="188" t="s">
        <v>47</v>
      </c>
      <c r="N168" s="49" t="str">
        <f>IF(AND('331-CT'!$E$7=TH!H168,OR(L168="331",M168="331")),"331",IF(AND(OR(L168="131",M168="131"),H168='131-CT'!$E$7),"131",""))</f>
        <v>331</v>
      </c>
      <c r="O168" s="49" t="str">
        <f>IF(AND($B168&gt;='111'!$N$11,$B168&lt;='111'!$O$11,OR($L168=$O$7,$M168=$O$7)),"x","")</f>
        <v>x</v>
      </c>
      <c r="P168" s="49" t="str">
        <f>IF(AND($L168=$O$7,$B168&lt;'111'!$N$11),"x","")</f>
        <v/>
      </c>
      <c r="Q168" s="49" t="str">
        <f>IF(AND($M168=$O$7,$B168&lt;'111'!$N$11),"x","")</f>
        <v/>
      </c>
      <c r="R168" s="49" t="str">
        <f>IF(ISERROR(FIND('112'!$M$9,G168,1)),"",IF((AND(FIND('112'!$M$9,G168,1)&gt;=1,$B168&gt;='112'!$N$8,$B168&lt;='112'!$O$8,OR($L168='112'!$I$6,$M168='112'!$I$6))),"x",""))</f>
        <v/>
      </c>
      <c r="S168" s="49" t="str">
        <f>IF(ISERROR(FIND('112'!$M$9,G168,1)),"",IF((AND(LEFT(G168,2)=LEFT('112'!$M$9,2),B168&lt;'112'!$N$8,$L168='112'!$I$6)),"x",""))</f>
        <v/>
      </c>
      <c r="T168" s="49" t="str">
        <f>IF(ISERROR(FIND('112'!$M$9,G168,1)),"",IF((AND(RIGHT(G168,2)=RIGHT('112'!$M$9,2),B168&lt;'112'!$N$8,$M168='112'!$I$6)),"x",""))</f>
        <v/>
      </c>
      <c r="U168" s="49" t="str">
        <f>IF(AND(L168="154",'154'!$O$5&lt;=B168,'154'!$P$5&gt;=B168),"154",IF(AND(L168="632",'632'!$L$5&lt;=B168,'632'!$M$5&gt;=B168),"632",IF(AND(L168="642",'642'!$N$5&lt;=B168,'642'!$O$5&gt;=B168),"642",IF(AND(L168="641",'641'!$N$5&lt;=B168,'641'!$O$5&gt;=B168),"641",""))))</f>
        <v/>
      </c>
      <c r="V168" s="49" t="str">
        <f>IF(OR(TH!L168=TH!$V$7,M168=TH!$V$7),"x","")</f>
        <v/>
      </c>
      <c r="W168" s="49" t="str">
        <f>IF(AND(B168&gt;='IN-NX'!$P$3,B168&lt;='IN-NX'!$Q$3,'IN-NX'!$D$7=D168,OR(LEFT(L168,2)="15",AND(LEFT(M168,2)&lt;&gt;"15",LEFT(M168,2)&lt;&gt;"33"))),"x","")</f>
        <v/>
      </c>
      <c r="X168" s="49" t="str">
        <f>IF(AND(OR(LEFT(TH!L168,2)="15",LEFT(TH!M168,2)="15"),'152-CT'!$J$8=TH!F168),"x","")</f>
        <v/>
      </c>
      <c r="Y168" s="49" t="str">
        <f>IF(AND(OR(LEFT(TH!L168,2)="15",LEFT(TH!M168,2)="15"),TK!$E$7=TH!F168),"x","")</f>
        <v/>
      </c>
      <c r="Z168" s="49" t="str">
        <f>IF(AND(B168&lt;=NKC!$N$8,B168&gt;=NKC!$M$8),"x","")</f>
        <v/>
      </c>
      <c r="AA168" s="723"/>
      <c r="AC168" s="199"/>
      <c r="AD168" s="199"/>
    </row>
    <row r="169" spans="1:30" s="497" customFormat="1" ht="15.75" hidden="1" customHeight="1">
      <c r="A169" s="724" t="str">
        <f>IF(B169&lt;&gt;"",IF(AND(B169&gt;=_TM1,B169&lt;=_TM2,OR(TH!L169="1111",TH!M169="1111")),TH!D169,""),"")</f>
        <v>T11</v>
      </c>
      <c r="B169" s="36">
        <f t="shared" si="11"/>
        <v>11</v>
      </c>
      <c r="C169" s="185">
        <f t="shared" si="12"/>
        <v>41236</v>
      </c>
      <c r="D169" s="178" t="s">
        <v>619</v>
      </c>
      <c r="E169" s="178">
        <v>41236</v>
      </c>
      <c r="F169" s="183" t="s">
        <v>478</v>
      </c>
      <c r="G169" s="731" t="s">
        <v>374</v>
      </c>
      <c r="H169" s="187" t="s">
        <v>483</v>
      </c>
      <c r="I169" s="247"/>
      <c r="J169" s="247"/>
      <c r="K169" s="505">
        <v>7500000</v>
      </c>
      <c r="L169" s="506" t="s">
        <v>47</v>
      </c>
      <c r="M169" s="506" t="s">
        <v>24</v>
      </c>
      <c r="N169" s="49" t="str">
        <f>IF(AND('331-CT'!$E$7=TH!H169,OR(L169="331",M169="331")),"331",IF(AND(OR(L169="131",M169="131"),H169='131-CT'!$E$7),"131",""))</f>
        <v/>
      </c>
      <c r="O169" s="49" t="str">
        <f>IF(AND($B169&gt;='111'!$N$11,$B169&lt;='111'!$O$11,OR($L169=$O$7,$M169=$O$7)),"x","")</f>
        <v>x</v>
      </c>
      <c r="P169" s="49" t="str">
        <f>IF(AND($L169=$O$7,$B169&lt;'111'!$N$11),"x","")</f>
        <v/>
      </c>
      <c r="Q169" s="49" t="str">
        <f>IF(AND($M169=$O$7,$B169&lt;'111'!$N$11),"x","")</f>
        <v/>
      </c>
      <c r="R169" s="49" t="str">
        <f>IF(ISERROR(FIND('112'!$M$9,G169,1)),"",IF((AND(FIND('112'!$M$9,G169,1)&gt;=1,$B169&gt;='112'!$N$8,$B169&lt;='112'!$O$8,OR($L169='112'!$I$6,$M169='112'!$I$6))),"x",""))</f>
        <v>x</v>
      </c>
      <c r="S169" s="49" t="str">
        <f>IF(ISERROR(FIND('112'!$M$9,G169,1)),"",IF((AND(LEFT(G169,2)=LEFT('112'!$M$9,2),B169&lt;'112'!$N$8,$L169='112'!$I$6)),"x",""))</f>
        <v/>
      </c>
      <c r="T169" s="49" t="str">
        <f>IF(ISERROR(FIND('112'!$M$9,G169,1)),"",IF((AND(RIGHT(G169,2)=RIGHT('112'!$M$9,2),B169&lt;'112'!$N$8,$M169='112'!$I$6)),"x",""))</f>
        <v/>
      </c>
      <c r="U169" s="49" t="str">
        <f>IF(AND(L169="154",'154'!$O$5&lt;=B169,'154'!$P$5&gt;=B169),"154",IF(AND(L169="632",'632'!$L$5&lt;=B169,'632'!$M$5&gt;=B169),"632",IF(AND(L169="642",'642'!$N$5&lt;=B169,'642'!$O$5&gt;=B169),"642",IF(AND(L169="641",'641'!$N$5&lt;=B169,'641'!$O$5&gt;=B169),"641",""))))</f>
        <v/>
      </c>
      <c r="V169" s="49" t="str">
        <f>IF(OR(TH!L169=TH!$V$7,M169=TH!$V$7),"x","")</f>
        <v/>
      </c>
      <c r="W169" s="49" t="str">
        <f>IF(AND(B169&gt;='IN-NX'!$P$3,B169&lt;='IN-NX'!$Q$3,'IN-NX'!$D$7=D169,OR(LEFT(L169,2)="15",AND(LEFT(M169,2)&lt;&gt;"15",LEFT(M169,2)&lt;&gt;"33"))),"x","")</f>
        <v/>
      </c>
      <c r="X169" s="49" t="str">
        <f>IF(AND(OR(LEFT(TH!L169,2)="15",LEFT(TH!M169,2)="15"),'152-CT'!$J$8=TH!F169),"x","")</f>
        <v/>
      </c>
      <c r="Y169" s="49" t="str">
        <f>IF(AND(OR(LEFT(TH!L169,2)="15",LEFT(TH!M169,2)="15"),TK!$E$7=TH!F169),"x","")</f>
        <v/>
      </c>
      <c r="Z169" s="49" t="str">
        <f>IF(AND(B169&lt;=NKC!$N$8,B169&gt;=NKC!$M$8),"x","")</f>
        <v/>
      </c>
      <c r="AA169" s="723"/>
    </row>
    <row r="170" spans="1:30" s="497" customFormat="1" ht="15.75" hidden="1" customHeight="1">
      <c r="A170" s="724" t="str">
        <f>IF(B170&lt;&gt;"",IF(AND(B170&gt;=_TM1,B170&lt;=_TM2,OR(TH!L170="1111",TH!M170="1111")),TH!D170,""),"")</f>
        <v/>
      </c>
      <c r="B170" s="36">
        <f t="shared" si="11"/>
        <v>11</v>
      </c>
      <c r="C170" s="185">
        <f t="shared" si="12"/>
        <v>41236</v>
      </c>
      <c r="D170" s="178" t="s">
        <v>606</v>
      </c>
      <c r="E170" s="185">
        <v>41236</v>
      </c>
      <c r="F170" s="186" t="s">
        <v>545</v>
      </c>
      <c r="G170" s="732" t="s">
        <v>568</v>
      </c>
      <c r="H170" s="187" t="s">
        <v>481</v>
      </c>
      <c r="I170" s="247">
        <v>1110</v>
      </c>
      <c r="J170" s="247">
        <v>5150</v>
      </c>
      <c r="K170" s="505">
        <f>ROUND(I170*J170,0)</f>
        <v>5716500</v>
      </c>
      <c r="L170" s="506" t="s">
        <v>252</v>
      </c>
      <c r="M170" s="506" t="s">
        <v>164</v>
      </c>
      <c r="N170" s="49" t="str">
        <f>IF(AND('331-CT'!$E$7=TH!H170,OR(L170="331",M170="331")),"331",IF(AND(OR(L170="131",M170="131"),H170='131-CT'!$E$7),"131",""))</f>
        <v/>
      </c>
      <c r="O170" s="49" t="str">
        <f>IF(AND($B170&gt;='111'!$N$11,$B170&lt;='111'!$O$11,OR($L170=$O$7,$M170=$O$7)),"x","")</f>
        <v/>
      </c>
      <c r="P170" s="49" t="str">
        <f>IF(AND($L170=$O$7,$B170&lt;'111'!$N$11),"x","")</f>
        <v/>
      </c>
      <c r="Q170" s="49" t="str">
        <f>IF(AND($M170=$O$7,$B170&lt;'111'!$N$11),"x","")</f>
        <v/>
      </c>
      <c r="R170" s="49" t="str">
        <f>IF(ISERROR(FIND('112'!$M$9,G170,1)),"",IF((AND(FIND('112'!$M$9,G170,1)&gt;=1,$B170&gt;='112'!$N$8,$B170&lt;='112'!$O$8,OR($L170='112'!$I$6,$M170='112'!$I$6))),"x",""))</f>
        <v/>
      </c>
      <c r="S170" s="49" t="str">
        <f>IF(ISERROR(FIND('112'!$M$9,G170,1)),"",IF((AND(LEFT(G170,2)=LEFT('112'!$M$9,2),B170&lt;'112'!$N$8,$L170='112'!$I$6)),"x",""))</f>
        <v/>
      </c>
      <c r="T170" s="49" t="str">
        <f>IF(ISERROR(FIND('112'!$M$9,G170,1)),"",IF((AND(RIGHT(G170,2)=RIGHT('112'!$M$9,2),B170&lt;'112'!$N$8,$M170='112'!$I$6)),"x",""))</f>
        <v/>
      </c>
      <c r="U170" s="49" t="str">
        <f>IF(AND(L170="154",'154'!$O$5&lt;=B170,'154'!$P$5&gt;=B170),"154",IF(AND(L170="632",'632'!$L$5&lt;=B170,'632'!$M$5&gt;=B170),"632",IF(AND(L170="642",'642'!$N$5&lt;=B170,'642'!$O$5&gt;=B170),"642",IF(AND(L170="641",'641'!$N$5&lt;=B170,'641'!$O$5&gt;=B170),"641",""))))</f>
        <v/>
      </c>
      <c r="V170" s="49" t="str">
        <f>IF(OR(TH!L170=TH!$V$7,M170=TH!$V$7),"x","")</f>
        <v/>
      </c>
      <c r="W170" s="49" t="str">
        <f>IF(AND(B170&gt;='IN-NX'!$P$3,B170&lt;='IN-NX'!$Q$3,'IN-NX'!$D$7=D170,OR(LEFT(L170,2)="15",AND(LEFT(M170,2)&lt;&gt;"15",LEFT(M170,2)&lt;&gt;"33"))),"x","")</f>
        <v/>
      </c>
      <c r="X170" s="49" t="str">
        <f>IF(AND(OR(LEFT(TH!L170,2)="15",LEFT(TH!M170,2)="15"),'152-CT'!$J$8=TH!F170),"x","")</f>
        <v/>
      </c>
      <c r="Y170" s="49" t="str">
        <f>IF(AND(OR(LEFT(TH!L170,2)="15",LEFT(TH!M170,2)="15"),TK!$E$7=TH!F170),"x","")</f>
        <v/>
      </c>
      <c r="Z170" s="49" t="str">
        <f>IF(AND(B170&lt;=NKC!$N$8,B170&gt;=NKC!$M$8),"x","")</f>
        <v/>
      </c>
      <c r="AA170" s="723"/>
      <c r="AC170" s="199"/>
      <c r="AD170" s="199"/>
    </row>
    <row r="171" spans="1:30" s="497" customFormat="1" ht="15.75" hidden="1" customHeight="1">
      <c r="A171" s="724" t="str">
        <f>IF(B171&lt;&gt;"",IF(AND(B171&gt;=_TM1,B171&lt;=_TM2,OR(TH!L171="1111",TH!M171="1111")),TH!D171,""),"")</f>
        <v/>
      </c>
      <c r="B171" s="36">
        <f t="shared" si="11"/>
        <v>11</v>
      </c>
      <c r="C171" s="185">
        <f t="shared" si="12"/>
        <v>41236</v>
      </c>
      <c r="D171" s="178" t="s">
        <v>606</v>
      </c>
      <c r="E171" s="185">
        <v>41236</v>
      </c>
      <c r="F171" s="186" t="s">
        <v>544</v>
      </c>
      <c r="G171" s="732" t="s">
        <v>568</v>
      </c>
      <c r="H171" s="187" t="s">
        <v>481</v>
      </c>
      <c r="I171" s="247">
        <v>1110</v>
      </c>
      <c r="J171" s="247">
        <v>7110</v>
      </c>
      <c r="K171" s="505">
        <f>ROUND(I171*J171,0)</f>
        <v>7892100</v>
      </c>
      <c r="L171" s="506" t="s">
        <v>252</v>
      </c>
      <c r="M171" s="506" t="s">
        <v>164</v>
      </c>
      <c r="N171" s="49" t="str">
        <f>IF(AND('331-CT'!$E$7=TH!H171,OR(L171="331",M171="331")),"331",IF(AND(OR(L171="131",M171="131"),H171='131-CT'!$E$7),"131",""))</f>
        <v/>
      </c>
      <c r="O171" s="49" t="str">
        <f>IF(AND($B171&gt;='111'!$N$11,$B171&lt;='111'!$O$11,OR($L171=$O$7,$M171=$O$7)),"x","")</f>
        <v/>
      </c>
      <c r="P171" s="49" t="str">
        <f>IF(AND($L171=$O$7,$B171&lt;'111'!$N$11),"x","")</f>
        <v/>
      </c>
      <c r="Q171" s="49" t="str">
        <f>IF(AND($M171=$O$7,$B171&lt;'111'!$N$11),"x","")</f>
        <v/>
      </c>
      <c r="R171" s="49" t="str">
        <f>IF(ISERROR(FIND('112'!$M$9,G171,1)),"",IF((AND(FIND('112'!$M$9,G171,1)&gt;=1,$B171&gt;='112'!$N$8,$B171&lt;='112'!$O$8,OR($L171='112'!$I$6,$M171='112'!$I$6))),"x",""))</f>
        <v/>
      </c>
      <c r="S171" s="49" t="str">
        <f>IF(ISERROR(FIND('112'!$M$9,G171,1)),"",IF((AND(LEFT(G171,2)=LEFT('112'!$M$9,2),B171&lt;'112'!$N$8,$L171='112'!$I$6)),"x",""))</f>
        <v/>
      </c>
      <c r="T171" s="49" t="str">
        <f>IF(ISERROR(FIND('112'!$M$9,G171,1)),"",IF((AND(RIGHT(G171,2)=RIGHT('112'!$M$9,2),B171&lt;'112'!$N$8,$M171='112'!$I$6)),"x",""))</f>
        <v/>
      </c>
      <c r="U171" s="49" t="str">
        <f>IF(AND(L171="154",'154'!$O$5&lt;=B171,'154'!$P$5&gt;=B171),"154",IF(AND(L171="632",'632'!$L$5&lt;=B171,'632'!$M$5&gt;=B171),"632",IF(AND(L171="642",'642'!$N$5&lt;=B171,'642'!$O$5&gt;=B171),"642",IF(AND(L171="641",'641'!$N$5&lt;=B171,'641'!$O$5&gt;=B171),"641",""))))</f>
        <v/>
      </c>
      <c r="V171" s="49" t="str">
        <f>IF(OR(TH!L171=TH!$V$7,M171=TH!$V$7),"x","")</f>
        <v/>
      </c>
      <c r="W171" s="49" t="str">
        <f>IF(AND(B171&gt;='IN-NX'!$P$3,B171&lt;='IN-NX'!$Q$3,'IN-NX'!$D$7=D171,OR(LEFT(L171,2)="15",AND(LEFT(M171,2)&lt;&gt;"15",LEFT(M171,2)&lt;&gt;"33"))),"x","")</f>
        <v/>
      </c>
      <c r="X171" s="49" t="str">
        <f>IF(AND(OR(LEFT(TH!L171,2)="15",LEFT(TH!M171,2)="15"),'152-CT'!$J$8=TH!F171),"x","")</f>
        <v/>
      </c>
      <c r="Y171" s="49" t="str">
        <f>IF(AND(OR(LEFT(TH!L171,2)="15",LEFT(TH!M171,2)="15"),TK!$E$7=TH!F171),"x","")</f>
        <v/>
      </c>
      <c r="Z171" s="49" t="str">
        <f>IF(AND(B171&lt;=NKC!$N$8,B171&gt;=NKC!$M$8),"x","")</f>
        <v/>
      </c>
      <c r="AA171" s="723"/>
      <c r="AC171" s="199"/>
      <c r="AD171" s="199"/>
    </row>
    <row r="172" spans="1:30" s="497" customFormat="1" ht="15.75" hidden="1" customHeight="1">
      <c r="A172" s="724" t="str">
        <f>IF(B172&lt;&gt;"",IF(AND(B172&gt;=_TM1,B172&lt;=_TM2,OR(TH!L172="1111",TH!M172="1111")),TH!D172,""),"")</f>
        <v/>
      </c>
      <c r="B172" s="36">
        <f t="shared" si="11"/>
        <v>11</v>
      </c>
      <c r="C172" s="185">
        <f t="shared" si="12"/>
        <v>41236</v>
      </c>
      <c r="D172" s="178" t="s">
        <v>606</v>
      </c>
      <c r="E172" s="185">
        <v>41236</v>
      </c>
      <c r="F172" s="186" t="s">
        <v>538</v>
      </c>
      <c r="G172" s="732" t="s">
        <v>568</v>
      </c>
      <c r="H172" s="187" t="s">
        <v>481</v>
      </c>
      <c r="I172" s="247"/>
      <c r="J172" s="247"/>
      <c r="K172" s="505">
        <v>1360860</v>
      </c>
      <c r="L172" s="506" t="s">
        <v>252</v>
      </c>
      <c r="M172" s="506" t="s">
        <v>297</v>
      </c>
      <c r="N172" s="49" t="str">
        <f>IF(AND('331-CT'!$E$7=TH!H172,OR(L172="331",M172="331")),"331",IF(AND(OR(L172="131",M172="131"),H172='131-CT'!$E$7),"131",""))</f>
        <v/>
      </c>
      <c r="O172" s="49" t="str">
        <f>IF(AND($B172&gt;='111'!$N$11,$B172&lt;='111'!$O$11,OR($L172=$O$7,$M172=$O$7)),"x","")</f>
        <v/>
      </c>
      <c r="P172" s="49" t="str">
        <f>IF(AND($L172=$O$7,$B172&lt;'111'!$N$11),"x","")</f>
        <v/>
      </c>
      <c r="Q172" s="49" t="str">
        <f>IF(AND($M172=$O$7,$B172&lt;'111'!$N$11),"x","")</f>
        <v/>
      </c>
      <c r="R172" s="49" t="str">
        <f>IF(ISERROR(FIND('112'!$M$9,G172,1)),"",IF((AND(FIND('112'!$M$9,G172,1)&gt;=1,$B172&gt;='112'!$N$8,$B172&lt;='112'!$O$8,OR($L172='112'!$I$6,$M172='112'!$I$6))),"x",""))</f>
        <v/>
      </c>
      <c r="S172" s="49" t="str">
        <f>IF(ISERROR(FIND('112'!$M$9,G172,1)),"",IF((AND(LEFT(G172,2)=LEFT('112'!$M$9,2),B172&lt;'112'!$N$8,$L172='112'!$I$6)),"x",""))</f>
        <v/>
      </c>
      <c r="T172" s="49" t="str">
        <f>IF(ISERROR(FIND('112'!$M$9,G172,1)),"",IF((AND(RIGHT(G172,2)=RIGHT('112'!$M$9,2),B172&lt;'112'!$N$8,$M172='112'!$I$6)),"x",""))</f>
        <v/>
      </c>
      <c r="U172" s="49" t="str">
        <f>IF(AND(L172="154",'154'!$O$5&lt;=B172,'154'!$P$5&gt;=B172),"154",IF(AND(L172="632",'632'!$L$5&lt;=B172,'632'!$M$5&gt;=B172),"632",IF(AND(L172="642",'642'!$N$5&lt;=B172,'642'!$O$5&gt;=B172),"642",IF(AND(L172="641",'641'!$N$5&lt;=B172,'641'!$O$5&gt;=B172),"641",""))))</f>
        <v/>
      </c>
      <c r="V172" s="49" t="str">
        <f>IF(OR(TH!L172=TH!$V$7,M172=TH!$V$7),"x","")</f>
        <v/>
      </c>
      <c r="W172" s="49" t="str">
        <f>IF(AND(B172&gt;='IN-NX'!$P$3,B172&lt;='IN-NX'!$Q$3,'IN-NX'!$D$7=D172,OR(LEFT(L172,2)="15",AND(LEFT(M172,2)&lt;&gt;"15",LEFT(M172,2)&lt;&gt;"33"))),"x","")</f>
        <v/>
      </c>
      <c r="X172" s="49" t="str">
        <f>IF(AND(OR(LEFT(TH!L172,2)="15",LEFT(TH!M172,2)="15"),'152-CT'!$J$8=TH!F172),"x","")</f>
        <v/>
      </c>
      <c r="Y172" s="49" t="str">
        <f>IF(AND(OR(LEFT(TH!L172,2)="15",LEFT(TH!M172,2)="15"),TK!$E$7=TH!F172),"x","")</f>
        <v/>
      </c>
      <c r="Z172" s="49" t="str">
        <f>IF(AND(B172&lt;=NKC!$N$8,B172&gt;=NKC!$M$8),"x","")</f>
        <v/>
      </c>
      <c r="AA172" s="723"/>
    </row>
    <row r="173" spans="1:30" s="497" customFormat="1" ht="15.75" hidden="1" customHeight="1">
      <c r="A173" s="724" t="str">
        <f>IF(B173&lt;&gt;"",IF(AND(B173&gt;=_TM1,B173&lt;=_TM2,OR(TH!L173="1111",TH!M173="1111")),TH!D173,""),"")</f>
        <v>T12</v>
      </c>
      <c r="B173" s="36">
        <f t="shared" si="11"/>
        <v>11</v>
      </c>
      <c r="C173" s="185">
        <f t="shared" si="12"/>
        <v>41236</v>
      </c>
      <c r="D173" s="178" t="s">
        <v>620</v>
      </c>
      <c r="E173" s="185">
        <v>41236</v>
      </c>
      <c r="F173" s="186" t="s">
        <v>476</v>
      </c>
      <c r="G173" s="732" t="s">
        <v>568</v>
      </c>
      <c r="H173" s="187" t="s">
        <v>481</v>
      </c>
      <c r="I173" s="247"/>
      <c r="J173" s="247"/>
      <c r="K173" s="505">
        <v>14969460</v>
      </c>
      <c r="L173" s="506" t="s">
        <v>47</v>
      </c>
      <c r="M173" s="506" t="s">
        <v>252</v>
      </c>
      <c r="N173" s="49" t="str">
        <f>IF(AND('331-CT'!$E$7=TH!H173,OR(L173="331",M173="331")),"331",IF(AND(OR(L173="131",M173="131"),H173='131-CT'!$E$7),"131",""))</f>
        <v/>
      </c>
      <c r="O173" s="49" t="str">
        <f>IF(AND($B173&gt;='111'!$N$11,$B173&lt;='111'!$O$11,OR($L173=$O$7,$M173=$O$7)),"x","")</f>
        <v>x</v>
      </c>
      <c r="P173" s="49" t="str">
        <f>IF(AND($L173=$O$7,$B173&lt;'111'!$N$11),"x","")</f>
        <v/>
      </c>
      <c r="Q173" s="49" t="str">
        <f>IF(AND($M173=$O$7,$B173&lt;'111'!$N$11),"x","")</f>
        <v/>
      </c>
      <c r="R173" s="49" t="str">
        <f>IF(ISERROR(FIND('112'!$M$9,G173,1)),"",IF((AND(FIND('112'!$M$9,G173,1)&gt;=1,$B173&gt;='112'!$N$8,$B173&lt;='112'!$O$8,OR($L173='112'!$I$6,$M173='112'!$I$6))),"x",""))</f>
        <v/>
      </c>
      <c r="S173" s="49" t="str">
        <f>IF(ISERROR(FIND('112'!$M$9,G173,1)),"",IF((AND(LEFT(G173,2)=LEFT('112'!$M$9,2),B173&lt;'112'!$N$8,$L173='112'!$I$6)),"x",""))</f>
        <v/>
      </c>
      <c r="T173" s="49" t="str">
        <f>IF(ISERROR(FIND('112'!$M$9,G173,1)),"",IF((AND(RIGHT(G173,2)=RIGHT('112'!$M$9,2),B173&lt;'112'!$N$8,$M173='112'!$I$6)),"x",""))</f>
        <v/>
      </c>
      <c r="U173" s="49" t="str">
        <f>IF(AND(L173="154",'154'!$O$5&lt;=B173,'154'!$P$5&gt;=B173),"154",IF(AND(L173="632",'632'!$L$5&lt;=B173,'632'!$M$5&gt;=B173),"632",IF(AND(L173="642",'642'!$N$5&lt;=B173,'642'!$O$5&gt;=B173),"642",IF(AND(L173="641",'641'!$N$5&lt;=B173,'641'!$O$5&gt;=B173),"641",""))))</f>
        <v/>
      </c>
      <c r="V173" s="49" t="str">
        <f>IF(OR(TH!L173=TH!$V$7,M173=TH!$V$7),"x","")</f>
        <v/>
      </c>
      <c r="W173" s="49" t="str">
        <f>IF(AND(B173&gt;='IN-NX'!$P$3,B173&lt;='IN-NX'!$Q$3,'IN-NX'!$D$7=D173,OR(LEFT(L173,2)="15",AND(LEFT(M173,2)&lt;&gt;"15",LEFT(M173,2)&lt;&gt;"33"))),"x","")</f>
        <v/>
      </c>
      <c r="X173" s="49" t="str">
        <f>IF(AND(OR(LEFT(TH!L173,2)="15",LEFT(TH!M173,2)="15"),'152-CT'!$J$8=TH!F173),"x","")</f>
        <v/>
      </c>
      <c r="Y173" s="49" t="str">
        <f>IF(AND(OR(LEFT(TH!L173,2)="15",LEFT(TH!M173,2)="15"),TK!$E$7=TH!F173),"x","")</f>
        <v/>
      </c>
      <c r="Z173" s="49" t="str">
        <f>IF(AND(B173&lt;=NKC!$N$8,B173&gt;=NKC!$M$8),"x","")</f>
        <v/>
      </c>
      <c r="AA173" s="723"/>
    </row>
    <row r="174" spans="1:30" s="497" customFormat="1" ht="15.75" hidden="1" customHeight="1">
      <c r="A174" s="724" t="str">
        <f>IF(B174&lt;&gt;"",IF(AND(B174&gt;=_TM1,B174&lt;=_TM2,OR(TH!L174="1111",TH!M174="1111")),TH!D174,""),"")</f>
        <v/>
      </c>
      <c r="B174" s="36">
        <f t="shared" si="11"/>
        <v>11</v>
      </c>
      <c r="C174" s="185">
        <f t="shared" si="12"/>
        <v>41237</v>
      </c>
      <c r="D174" s="185" t="s">
        <v>515</v>
      </c>
      <c r="E174" s="178">
        <v>41237</v>
      </c>
      <c r="F174" s="183" t="s">
        <v>454</v>
      </c>
      <c r="G174" s="731" t="s">
        <v>453</v>
      </c>
      <c r="H174" s="7" t="s">
        <v>390</v>
      </c>
      <c r="I174" s="247">
        <v>150</v>
      </c>
      <c r="J174" s="247">
        <v>10230</v>
      </c>
      <c r="K174" s="37">
        <f>ROUND(I174*J174,0)</f>
        <v>1534500</v>
      </c>
      <c r="L174" s="188" t="s">
        <v>375</v>
      </c>
      <c r="M174" s="188" t="s">
        <v>8</v>
      </c>
      <c r="N174" s="49" t="str">
        <f>IF(AND('331-CT'!$E$7=TH!H174,OR(L174="331",M174="331")),"331",IF(AND(OR(L174="131",M174="131"),H174='131-CT'!$E$7),"131",""))</f>
        <v>331</v>
      </c>
      <c r="O174" s="49" t="str">
        <f>IF(AND($B174&gt;='111'!$N$11,$B174&lt;='111'!$O$11,OR($L174=$O$7,$M174=$O$7)),"x","")</f>
        <v/>
      </c>
      <c r="P174" s="49" t="str">
        <f>IF(AND($L174=$O$7,$B174&lt;'111'!$N$11),"x","")</f>
        <v/>
      </c>
      <c r="Q174" s="49" t="str">
        <f>IF(AND($M174=$O$7,$B174&lt;'111'!$N$11),"x","")</f>
        <v/>
      </c>
      <c r="R174" s="49" t="str">
        <f>IF(ISERROR(FIND('112'!$M$9,G174,1)),"",IF((AND(FIND('112'!$M$9,G174,1)&gt;=1,$B174&gt;='112'!$N$8,$B174&lt;='112'!$O$8,OR($L174='112'!$I$6,$M174='112'!$I$6))),"x",""))</f>
        <v/>
      </c>
      <c r="S174" s="49" t="str">
        <f>IF(ISERROR(FIND('112'!$M$9,G174,1)),"",IF((AND(LEFT(G174,2)=LEFT('112'!$M$9,2),B174&lt;'112'!$N$8,$L174='112'!$I$6)),"x",""))</f>
        <v/>
      </c>
      <c r="T174" s="49" t="str">
        <f>IF(ISERROR(FIND('112'!$M$9,G174,1)),"",IF((AND(RIGHT(G174,2)=RIGHT('112'!$M$9,2),B174&lt;'112'!$N$8,$M174='112'!$I$6)),"x",""))</f>
        <v/>
      </c>
      <c r="U174" s="49" t="str">
        <f>IF(AND(L174="154",'154'!$O$5&lt;=B174,'154'!$P$5&gt;=B174),"154",IF(AND(L174="632",'632'!$L$5&lt;=B174,'632'!$M$5&gt;=B174),"632",IF(AND(L174="642",'642'!$N$5&lt;=B174,'642'!$O$5&gt;=B174),"642",IF(AND(L174="641",'641'!$N$5&lt;=B174,'641'!$O$5&gt;=B174),"641",""))))</f>
        <v/>
      </c>
      <c r="V174" s="49" t="str">
        <f>IF(OR(TH!L174=TH!$V$7,M174=TH!$V$7),"x","")</f>
        <v/>
      </c>
      <c r="W174" s="49" t="str">
        <f>IF(AND(B174&gt;='IN-NX'!$P$3,B174&lt;='IN-NX'!$Q$3,'IN-NX'!$D$7=D174,OR(LEFT(L174,2)="15",AND(LEFT(M174,2)&lt;&gt;"15",LEFT(M174,2)&lt;&gt;"33"))),"x","")</f>
        <v/>
      </c>
      <c r="X174" s="49" t="str">
        <f>IF(AND(OR(LEFT(TH!L174,2)="15",LEFT(TH!M174,2)="15"),'152-CT'!$J$8=TH!F174),"x","")</f>
        <v/>
      </c>
      <c r="Y174" s="49" t="str">
        <f>IF(AND(OR(LEFT(TH!L174,2)="15",LEFT(TH!M174,2)="15"),TK!$E$7=TH!F174),"x","")</f>
        <v/>
      </c>
      <c r="Z174" s="49" t="str">
        <f>IF(AND(B174&lt;=NKC!$N$8,B174&gt;=NKC!$M$8),"x","")</f>
        <v/>
      </c>
      <c r="AA174" s="723"/>
      <c r="AB174" s="199"/>
      <c r="AC174" s="199"/>
      <c r="AD174" s="199"/>
    </row>
    <row r="175" spans="1:30" s="497" customFormat="1" ht="15.75" hidden="1" customHeight="1">
      <c r="A175" s="724" t="str">
        <f>IF(B175&lt;&gt;"",IF(AND(B175&gt;=_TM1,B175&lt;=_TM2,OR(TH!L175="1111",TH!M175="1111")),TH!D175,""),"")</f>
        <v/>
      </c>
      <c r="B175" s="36">
        <f t="shared" si="11"/>
        <v>11</v>
      </c>
      <c r="C175" s="185">
        <f t="shared" si="12"/>
        <v>41237</v>
      </c>
      <c r="D175" s="185" t="s">
        <v>515</v>
      </c>
      <c r="E175" s="178">
        <v>41237</v>
      </c>
      <c r="F175" s="183" t="s">
        <v>455</v>
      </c>
      <c r="G175" s="731" t="s">
        <v>453</v>
      </c>
      <c r="H175" s="7" t="s">
        <v>390</v>
      </c>
      <c r="I175" s="247">
        <v>502</v>
      </c>
      <c r="J175" s="247">
        <v>11186</v>
      </c>
      <c r="K175" s="37">
        <f>ROUND(I175*J175,0)</f>
        <v>5615372</v>
      </c>
      <c r="L175" s="188" t="s">
        <v>375</v>
      </c>
      <c r="M175" s="188" t="s">
        <v>8</v>
      </c>
      <c r="N175" s="49" t="str">
        <f>IF(AND('331-CT'!$E$7=TH!H175,OR(L175="331",M175="331")),"331",IF(AND(OR(L175="131",M175="131"),H175='131-CT'!$E$7),"131",""))</f>
        <v>331</v>
      </c>
      <c r="O175" s="49" t="str">
        <f>IF(AND($B175&gt;='111'!$N$11,$B175&lt;='111'!$O$11,OR($L175=$O$7,$M175=$O$7)),"x","")</f>
        <v/>
      </c>
      <c r="P175" s="49" t="str">
        <f>IF(AND($L175=$O$7,$B175&lt;'111'!$N$11),"x","")</f>
        <v/>
      </c>
      <c r="Q175" s="49" t="str">
        <f>IF(AND($M175=$O$7,$B175&lt;'111'!$N$11),"x","")</f>
        <v/>
      </c>
      <c r="R175" s="49" t="str">
        <f>IF(ISERROR(FIND('112'!$M$9,G175,1)),"",IF((AND(FIND('112'!$M$9,G175,1)&gt;=1,$B175&gt;='112'!$N$8,$B175&lt;='112'!$O$8,OR($L175='112'!$I$6,$M175='112'!$I$6))),"x",""))</f>
        <v/>
      </c>
      <c r="S175" s="49" t="str">
        <f>IF(ISERROR(FIND('112'!$M$9,G175,1)),"",IF((AND(LEFT(G175,2)=LEFT('112'!$M$9,2),B175&lt;'112'!$N$8,$L175='112'!$I$6)),"x",""))</f>
        <v/>
      </c>
      <c r="T175" s="49" t="str">
        <f>IF(ISERROR(FIND('112'!$M$9,G175,1)),"",IF((AND(RIGHT(G175,2)=RIGHT('112'!$M$9,2),B175&lt;'112'!$N$8,$M175='112'!$I$6)),"x",""))</f>
        <v/>
      </c>
      <c r="U175" s="49" t="str">
        <f>IF(AND(L175="154",'154'!$O$5&lt;=B175,'154'!$P$5&gt;=B175),"154",IF(AND(L175="632",'632'!$L$5&lt;=B175,'632'!$M$5&gt;=B175),"632",IF(AND(L175="642",'642'!$N$5&lt;=B175,'642'!$O$5&gt;=B175),"642",IF(AND(L175="641",'641'!$N$5&lt;=B175,'641'!$O$5&gt;=B175),"641",""))))</f>
        <v/>
      </c>
      <c r="V175" s="49" t="str">
        <f>IF(OR(TH!L175=TH!$V$7,M175=TH!$V$7),"x","")</f>
        <v/>
      </c>
      <c r="W175" s="49" t="str">
        <f>IF(AND(B175&gt;='IN-NX'!$P$3,B175&lt;='IN-NX'!$Q$3,'IN-NX'!$D$7=D175,OR(LEFT(L175,2)="15",AND(LEFT(M175,2)&lt;&gt;"15",LEFT(M175,2)&lt;&gt;"33"))),"x","")</f>
        <v/>
      </c>
      <c r="X175" s="49" t="str">
        <f>IF(AND(OR(LEFT(TH!L175,2)="15",LEFT(TH!M175,2)="15"),'152-CT'!$J$8=TH!F175),"x","")</f>
        <v/>
      </c>
      <c r="Y175" s="49" t="str">
        <f>IF(AND(OR(LEFT(TH!L175,2)="15",LEFT(TH!M175,2)="15"),TK!$E$7=TH!F175),"x","")</f>
        <v/>
      </c>
      <c r="Z175" s="49" t="str">
        <f>IF(AND(B175&lt;=NKC!$N$8,B175&gt;=NKC!$M$8),"x","")</f>
        <v/>
      </c>
      <c r="AA175" s="723"/>
      <c r="AB175" s="199"/>
      <c r="AC175" s="199"/>
      <c r="AD175" s="199"/>
    </row>
    <row r="176" spans="1:30" s="497" customFormat="1" ht="15.75" customHeight="1">
      <c r="A176" s="724" t="str">
        <f>IF(B176&lt;&gt;"",IF(AND(B176&gt;=_TM1,B176&lt;=_TM2,OR(TH!L176="1111",TH!M176="1111")),TH!D176,""),"")</f>
        <v/>
      </c>
      <c r="B176" s="36">
        <f t="shared" si="11"/>
        <v>11</v>
      </c>
      <c r="C176" s="185">
        <f t="shared" si="12"/>
        <v>41237</v>
      </c>
      <c r="D176" s="185" t="s">
        <v>515</v>
      </c>
      <c r="E176" s="178">
        <v>41237</v>
      </c>
      <c r="F176" s="183" t="s">
        <v>392</v>
      </c>
      <c r="G176" s="731" t="s">
        <v>453</v>
      </c>
      <c r="H176" s="7" t="s">
        <v>390</v>
      </c>
      <c r="I176" s="247"/>
      <c r="J176" s="247"/>
      <c r="K176" s="37">
        <v>714987</v>
      </c>
      <c r="L176" s="188" t="s">
        <v>9</v>
      </c>
      <c r="M176" s="188" t="s">
        <v>8</v>
      </c>
      <c r="N176" s="49" t="str">
        <f>IF(AND('331-CT'!$E$7=TH!H176,OR(L176="331",M176="331")),"331",IF(AND(OR(L176="131",M176="131"),H176='131-CT'!$E$7),"131",""))</f>
        <v>331</v>
      </c>
      <c r="O176" s="49" t="str">
        <f>IF(AND($B176&gt;='111'!$N$11,$B176&lt;='111'!$O$11,OR($L176=$O$7,$M176=$O$7)),"x","")</f>
        <v/>
      </c>
      <c r="P176" s="49" t="str">
        <f>IF(AND($L176=$O$7,$B176&lt;'111'!$N$11),"x","")</f>
        <v/>
      </c>
      <c r="Q176" s="49" t="str">
        <f>IF(AND($M176=$O$7,$B176&lt;'111'!$N$11),"x","")</f>
        <v/>
      </c>
      <c r="R176" s="49" t="str">
        <f>IF(ISERROR(FIND('112'!$M$9,G176,1)),"",IF((AND(FIND('112'!$M$9,G176,1)&gt;=1,$B176&gt;='112'!$N$8,$B176&lt;='112'!$O$8,OR($L176='112'!$I$6,$M176='112'!$I$6))),"x",""))</f>
        <v/>
      </c>
      <c r="S176" s="49" t="str">
        <f>IF(ISERROR(FIND('112'!$M$9,G176,1)),"",IF((AND(LEFT(G176,2)=LEFT('112'!$M$9,2),B176&lt;'112'!$N$8,$L176='112'!$I$6)),"x",""))</f>
        <v/>
      </c>
      <c r="T176" s="49" t="str">
        <f>IF(ISERROR(FIND('112'!$M$9,G176,1)),"",IF((AND(RIGHT(G176,2)=RIGHT('112'!$M$9,2),B176&lt;'112'!$N$8,$M176='112'!$I$6)),"x",""))</f>
        <v/>
      </c>
      <c r="U176" s="49" t="str">
        <f>IF(AND(L176="154",'154'!$O$5&lt;=B176,'154'!$P$5&gt;=B176),"154",IF(AND(L176="632",'632'!$L$5&lt;=B176,'632'!$M$5&gt;=B176),"632",IF(AND(L176="642",'642'!$N$5&lt;=B176,'642'!$O$5&gt;=B176),"642",IF(AND(L176="641",'641'!$N$5&lt;=B176,'641'!$O$5&gt;=B176),"641",""))))</f>
        <v/>
      </c>
      <c r="V176" s="49" t="str">
        <f>IF(OR(TH!L176=TH!$V$7,M176=TH!$V$7),"x","")</f>
        <v>x</v>
      </c>
      <c r="W176" s="49" t="str">
        <f>IF(AND(B176&gt;='IN-NX'!$P$3,B176&lt;='IN-NX'!$Q$3,'IN-NX'!$D$7=D176,OR(LEFT(L176,2)="15",AND(LEFT(M176,2)&lt;&gt;"15",LEFT(M176,2)&lt;&gt;"33"))),"x","")</f>
        <v/>
      </c>
      <c r="X176" s="49" t="str">
        <f>IF(AND(OR(LEFT(TH!L176,2)="15",LEFT(TH!M176,2)="15"),'152-CT'!$J$8=TH!F176),"x","")</f>
        <v/>
      </c>
      <c r="Y176" s="49" t="str">
        <f>IF(AND(OR(LEFT(TH!L176,2)="15",LEFT(TH!M176,2)="15"),TK!$E$7=TH!F176),"x","")</f>
        <v/>
      </c>
      <c r="Z176" s="49" t="str">
        <f>IF(AND(B176&lt;=NKC!$N$8,B176&gt;=NKC!$M$8),"x","")</f>
        <v/>
      </c>
      <c r="AA176" s="723"/>
      <c r="AB176" s="199"/>
      <c r="AC176" s="199"/>
      <c r="AD176" s="199"/>
    </row>
    <row r="177" spans="1:30" s="497" customFormat="1" ht="15.75" hidden="1" customHeight="1">
      <c r="A177" s="724" t="str">
        <f>IF(B177&lt;&gt;"",IF(AND(B177&gt;=_TM1,B177&lt;=_TM2,OR(TH!L177="1111",TH!M177="1111")),TH!D177,""),"")</f>
        <v>C19</v>
      </c>
      <c r="B177" s="36">
        <f t="shared" si="11"/>
        <v>11</v>
      </c>
      <c r="C177" s="185">
        <f t="shared" si="12"/>
        <v>41237</v>
      </c>
      <c r="D177" s="185" t="s">
        <v>516</v>
      </c>
      <c r="E177" s="178">
        <v>41237</v>
      </c>
      <c r="F177" s="183" t="s">
        <v>486</v>
      </c>
      <c r="G177" s="731" t="s">
        <v>453</v>
      </c>
      <c r="H177" s="7" t="s">
        <v>390</v>
      </c>
      <c r="I177" s="247"/>
      <c r="J177" s="247"/>
      <c r="K177" s="37">
        <v>7864859</v>
      </c>
      <c r="L177" s="188" t="s">
        <v>8</v>
      </c>
      <c r="M177" s="188" t="s">
        <v>47</v>
      </c>
      <c r="N177" s="49" t="str">
        <f>IF(AND('331-CT'!$E$7=TH!H177,OR(L177="331",M177="331")),"331",IF(AND(OR(L177="131",M177="131"),H177='131-CT'!$E$7),"131",""))</f>
        <v>331</v>
      </c>
      <c r="O177" s="49" t="str">
        <f>IF(AND($B177&gt;='111'!$N$11,$B177&lt;='111'!$O$11,OR($L177=$O$7,$M177=$O$7)),"x","")</f>
        <v>x</v>
      </c>
      <c r="P177" s="49" t="str">
        <f>IF(AND($L177=$O$7,$B177&lt;'111'!$N$11),"x","")</f>
        <v/>
      </c>
      <c r="Q177" s="49" t="str">
        <f>IF(AND($M177=$O$7,$B177&lt;'111'!$N$11),"x","")</f>
        <v/>
      </c>
      <c r="R177" s="49" t="str">
        <f>IF(ISERROR(FIND('112'!$M$9,G177,1)),"",IF((AND(FIND('112'!$M$9,G177,1)&gt;=1,$B177&gt;='112'!$N$8,$B177&lt;='112'!$O$8,OR($L177='112'!$I$6,$M177='112'!$I$6))),"x",""))</f>
        <v/>
      </c>
      <c r="S177" s="49" t="str">
        <f>IF(ISERROR(FIND('112'!$M$9,G177,1)),"",IF((AND(LEFT(G177,2)=LEFT('112'!$M$9,2),B177&lt;'112'!$N$8,$L177='112'!$I$6)),"x",""))</f>
        <v/>
      </c>
      <c r="T177" s="49" t="str">
        <f>IF(ISERROR(FIND('112'!$M$9,G177,1)),"",IF((AND(RIGHT(G177,2)=RIGHT('112'!$M$9,2),B177&lt;'112'!$N$8,$M177='112'!$I$6)),"x",""))</f>
        <v/>
      </c>
      <c r="U177" s="49" t="str">
        <f>IF(AND(L177="154",'154'!$O$5&lt;=B177,'154'!$P$5&gt;=B177),"154",IF(AND(L177="632",'632'!$L$5&lt;=B177,'632'!$M$5&gt;=B177),"632",IF(AND(L177="642",'642'!$N$5&lt;=B177,'642'!$O$5&gt;=B177),"642",IF(AND(L177="641",'641'!$N$5&lt;=B177,'641'!$O$5&gt;=B177),"641",""))))</f>
        <v/>
      </c>
      <c r="V177" s="49" t="str">
        <f>IF(OR(TH!L177=TH!$V$7,M177=TH!$V$7),"x","")</f>
        <v/>
      </c>
      <c r="W177" s="49" t="str">
        <f>IF(AND(B177&gt;='IN-NX'!$P$3,B177&lt;='IN-NX'!$Q$3,'IN-NX'!$D$7=D177,OR(LEFT(L177,2)="15",AND(LEFT(M177,2)&lt;&gt;"15",LEFT(M177,2)&lt;&gt;"33"))),"x","")</f>
        <v/>
      </c>
      <c r="X177" s="49" t="str">
        <f>IF(AND(OR(LEFT(TH!L177,2)="15",LEFT(TH!M177,2)="15"),'152-CT'!$J$8=TH!F177),"x","")</f>
        <v/>
      </c>
      <c r="Y177" s="49" t="str">
        <f>IF(AND(OR(LEFT(TH!L177,2)="15",LEFT(TH!M177,2)="15"),TK!$E$7=TH!F177),"x","")</f>
        <v/>
      </c>
      <c r="Z177" s="49" t="str">
        <f>IF(AND(B177&lt;=NKC!$N$8,B177&gt;=NKC!$M$8),"x","")</f>
        <v/>
      </c>
      <c r="AA177" s="723"/>
      <c r="AC177" s="199"/>
      <c r="AD177" s="199"/>
    </row>
    <row r="178" spans="1:30" s="497" customFormat="1" ht="15.75" hidden="1" customHeight="1">
      <c r="A178" s="724" t="str">
        <f>IF(B178&lt;&gt;"",IF(AND(B178&gt;=_TM1,B178&lt;=_TM2,OR(TH!L178="1111",TH!M178="1111")),TH!D178,""),"")</f>
        <v>C20</v>
      </c>
      <c r="B178" s="36">
        <f t="shared" si="11"/>
        <v>11</v>
      </c>
      <c r="C178" s="185">
        <f t="shared" si="12"/>
        <v>41237</v>
      </c>
      <c r="D178" s="185" t="s">
        <v>517</v>
      </c>
      <c r="E178" s="178">
        <v>41237</v>
      </c>
      <c r="F178" s="186" t="s">
        <v>404</v>
      </c>
      <c r="G178" s="731" t="s">
        <v>456</v>
      </c>
      <c r="H178" s="7" t="s">
        <v>402</v>
      </c>
      <c r="I178" s="247">
        <v>100</v>
      </c>
      <c r="J178" s="247">
        <v>25200</v>
      </c>
      <c r="K178" s="37">
        <f>ROUND(I178*J178,0)</f>
        <v>2520000</v>
      </c>
      <c r="L178" s="188" t="s">
        <v>160</v>
      </c>
      <c r="M178" s="188" t="s">
        <v>47</v>
      </c>
      <c r="N178" s="49" t="str">
        <f>IF(AND('331-CT'!$E$7=TH!H178,OR(L178="331",M178="331")),"331",IF(AND(OR(L178="131",M178="131"),H178='131-CT'!$E$7),"131",""))</f>
        <v/>
      </c>
      <c r="O178" s="49" t="str">
        <f>IF(AND($B178&gt;='111'!$N$11,$B178&lt;='111'!$O$11,OR($L178=$O$7,$M178=$O$7)),"x","")</f>
        <v>x</v>
      </c>
      <c r="P178" s="49" t="str">
        <f>IF(AND($L178=$O$7,$B178&lt;'111'!$N$11),"x","")</f>
        <v/>
      </c>
      <c r="Q178" s="49" t="str">
        <f>IF(AND($M178=$O$7,$B178&lt;'111'!$N$11),"x","")</f>
        <v/>
      </c>
      <c r="R178" s="49" t="str">
        <f>IF(ISERROR(FIND('112'!$M$9,G178,1)),"",IF((AND(FIND('112'!$M$9,G178,1)&gt;=1,$B178&gt;='112'!$N$8,$B178&lt;='112'!$O$8,OR($L178='112'!$I$6,$M178='112'!$I$6))),"x",""))</f>
        <v/>
      </c>
      <c r="S178" s="49" t="str">
        <f>IF(ISERROR(FIND('112'!$M$9,G178,1)),"",IF((AND(LEFT(G178,2)=LEFT('112'!$M$9,2),B178&lt;'112'!$N$8,$L178='112'!$I$6)),"x",""))</f>
        <v/>
      </c>
      <c r="T178" s="49" t="str">
        <f>IF(ISERROR(FIND('112'!$M$9,G178,1)),"",IF((AND(RIGHT(G178,2)=RIGHT('112'!$M$9,2),B178&lt;'112'!$N$8,$M178='112'!$I$6)),"x",""))</f>
        <v/>
      </c>
      <c r="U178" s="49" t="str">
        <f>IF(AND(L178="154",'154'!$O$5&lt;=B178,'154'!$P$5&gt;=B178),"154",IF(AND(L178="632",'632'!$L$5&lt;=B178,'632'!$M$5&gt;=B178),"632",IF(AND(L178="642",'642'!$N$5&lt;=B178,'642'!$O$5&gt;=B178),"642",IF(AND(L178="641",'641'!$N$5&lt;=B178,'641'!$O$5&gt;=B178),"641",""))))</f>
        <v/>
      </c>
      <c r="V178" s="49" t="str">
        <f>IF(OR(TH!L178=TH!$V$7,M178=TH!$V$7),"x","")</f>
        <v/>
      </c>
      <c r="W178" s="49" t="str">
        <f>IF(AND(B178&gt;='IN-NX'!$P$3,B178&lt;='IN-NX'!$Q$3,'IN-NX'!$D$7=D178,OR(LEFT(L178,2)="15",AND(LEFT(M178,2)&lt;&gt;"15",LEFT(M178,2)&lt;&gt;"33"))),"x","")</f>
        <v/>
      </c>
      <c r="X178" s="49" t="str">
        <f>IF(AND(OR(LEFT(TH!L178,2)="15",LEFT(TH!M178,2)="15"),'152-CT'!$J$8=TH!F178),"x","")</f>
        <v/>
      </c>
      <c r="Y178" s="49" t="str">
        <f>IF(AND(OR(LEFT(TH!L178,2)="15",LEFT(TH!M178,2)="15"),TK!$E$7=TH!F178),"x","")</f>
        <v/>
      </c>
      <c r="Z178" s="49" t="str">
        <f>IF(AND(B178&lt;=NKC!$N$8,B178&gt;=NKC!$M$8),"x","")</f>
        <v/>
      </c>
      <c r="AA178" s="723"/>
      <c r="AB178" s="199"/>
      <c r="AC178" s="199"/>
      <c r="AD178" s="199"/>
    </row>
    <row r="179" spans="1:30" s="497" customFormat="1" ht="15.75" customHeight="1">
      <c r="A179" s="724" t="str">
        <f>IF(B179&lt;&gt;"",IF(AND(B179&gt;=_TM1,B179&lt;=_TM2,OR(TH!L179="1111",TH!M179="1111")),TH!D179,""),"")</f>
        <v>C20</v>
      </c>
      <c r="B179" s="36">
        <f t="shared" si="11"/>
        <v>11</v>
      </c>
      <c r="C179" s="185">
        <f t="shared" si="12"/>
        <v>41237</v>
      </c>
      <c r="D179" s="185" t="s">
        <v>517</v>
      </c>
      <c r="E179" s="178">
        <v>41237</v>
      </c>
      <c r="F179" s="186" t="s">
        <v>405</v>
      </c>
      <c r="G179" s="731" t="s">
        <v>456</v>
      </c>
      <c r="H179" s="7" t="s">
        <v>402</v>
      </c>
      <c r="I179" s="247"/>
      <c r="J179" s="247"/>
      <c r="K179" s="505">
        <v>252000</v>
      </c>
      <c r="L179" s="188" t="s">
        <v>9</v>
      </c>
      <c r="M179" s="188" t="s">
        <v>47</v>
      </c>
      <c r="N179" s="49" t="str">
        <f>IF(AND('331-CT'!$E$7=TH!H179,OR(L179="331",M179="331")),"331",IF(AND(OR(L179="131",M179="131"),H179='131-CT'!$E$7),"131",""))</f>
        <v/>
      </c>
      <c r="O179" s="49" t="str">
        <f>IF(AND($B179&gt;='111'!$N$11,$B179&lt;='111'!$O$11,OR($L179=$O$7,$M179=$O$7)),"x","")</f>
        <v>x</v>
      </c>
      <c r="P179" s="49" t="str">
        <f>IF(AND($L179=$O$7,$B179&lt;'111'!$N$11),"x","")</f>
        <v/>
      </c>
      <c r="Q179" s="49" t="str">
        <f>IF(AND($M179=$O$7,$B179&lt;'111'!$N$11),"x","")</f>
        <v/>
      </c>
      <c r="R179" s="49" t="str">
        <f>IF(ISERROR(FIND('112'!$M$9,G179,1)),"",IF((AND(FIND('112'!$M$9,G179,1)&gt;=1,$B179&gt;='112'!$N$8,$B179&lt;='112'!$O$8,OR($L179='112'!$I$6,$M179='112'!$I$6))),"x",""))</f>
        <v/>
      </c>
      <c r="S179" s="49" t="str">
        <f>IF(ISERROR(FIND('112'!$M$9,G179,1)),"",IF((AND(LEFT(G179,2)=LEFT('112'!$M$9,2),B179&lt;'112'!$N$8,$L179='112'!$I$6)),"x",""))</f>
        <v/>
      </c>
      <c r="T179" s="49" t="str">
        <f>IF(ISERROR(FIND('112'!$M$9,G179,1)),"",IF((AND(RIGHT(G179,2)=RIGHT('112'!$M$9,2),B179&lt;'112'!$N$8,$M179='112'!$I$6)),"x",""))</f>
        <v/>
      </c>
      <c r="U179" s="49" t="str">
        <f>IF(AND(L179="154",'154'!$O$5&lt;=B179,'154'!$P$5&gt;=B179),"154",IF(AND(L179="632",'632'!$L$5&lt;=B179,'632'!$M$5&gt;=B179),"632",IF(AND(L179="642",'642'!$N$5&lt;=B179,'642'!$O$5&gt;=B179),"642",IF(AND(L179="641",'641'!$N$5&lt;=B179,'641'!$O$5&gt;=B179),"641",""))))</f>
        <v/>
      </c>
      <c r="V179" s="49" t="str">
        <f>IF(OR(TH!L179=TH!$V$7,M179=TH!$V$7),"x","")</f>
        <v>x</v>
      </c>
      <c r="W179" s="49" t="str">
        <f>IF(AND(B179&gt;='IN-NX'!$P$3,B179&lt;='IN-NX'!$Q$3,'IN-NX'!$D$7=D179,OR(LEFT(L179,2)="15",AND(LEFT(M179,2)&lt;&gt;"15",LEFT(M179,2)&lt;&gt;"33"))),"x","")</f>
        <v/>
      </c>
      <c r="X179" s="49" t="str">
        <f>IF(AND(OR(LEFT(TH!L179,2)="15",LEFT(TH!M179,2)="15"),'152-CT'!$J$8=TH!F179),"x","")</f>
        <v/>
      </c>
      <c r="Y179" s="49" t="str">
        <f>IF(AND(OR(LEFT(TH!L179,2)="15",LEFT(TH!M179,2)="15"),TK!$E$7=TH!F179),"x","")</f>
        <v/>
      </c>
      <c r="Z179" s="49" t="str">
        <f>IF(AND(B179&lt;=NKC!$N$8,B179&gt;=NKC!$M$8),"x","")</f>
        <v/>
      </c>
      <c r="AA179" s="723"/>
    </row>
    <row r="180" spans="1:30" s="497" customFormat="1" ht="15.75" hidden="1" customHeight="1">
      <c r="A180" s="724" t="str">
        <f>IF(B180&lt;&gt;"",IF(AND(B180&gt;=_TM1,B180&lt;=_TM2,OR(TH!L180="1111",TH!M180="1111")),TH!D180,""),"")</f>
        <v/>
      </c>
      <c r="B180" s="36">
        <f t="shared" si="11"/>
        <v>11</v>
      </c>
      <c r="C180" s="185">
        <f t="shared" si="12"/>
        <v>41238</v>
      </c>
      <c r="D180" s="178" t="s">
        <v>473</v>
      </c>
      <c r="E180" s="178">
        <v>41238</v>
      </c>
      <c r="F180" s="183" t="s">
        <v>480</v>
      </c>
      <c r="G180" s="731" t="s">
        <v>374</v>
      </c>
      <c r="H180" s="187"/>
      <c r="I180" s="247"/>
      <c r="J180" s="247"/>
      <c r="K180" s="505">
        <v>15290</v>
      </c>
      <c r="L180" s="506" t="s">
        <v>24</v>
      </c>
      <c r="M180" s="506" t="s">
        <v>40</v>
      </c>
      <c r="N180" s="49" t="str">
        <f>IF(AND('331-CT'!$E$7=TH!H180,OR(L180="331",M180="331")),"331",IF(AND(OR(L180="131",M180="131"),H180='131-CT'!$E$7),"131",""))</f>
        <v/>
      </c>
      <c r="O180" s="49" t="str">
        <f>IF(AND($B180&gt;='111'!$N$11,$B180&lt;='111'!$O$11,OR($L180=$O$7,$M180=$O$7)),"x","")</f>
        <v/>
      </c>
      <c r="P180" s="49" t="str">
        <f>IF(AND($L180=$O$7,$B180&lt;'111'!$N$11),"x","")</f>
        <v/>
      </c>
      <c r="Q180" s="49" t="str">
        <f>IF(AND($M180=$O$7,$B180&lt;'111'!$N$11),"x","")</f>
        <v/>
      </c>
      <c r="R180" s="49" t="str">
        <f>IF(ISERROR(FIND('112'!$M$9,G180,1)),"",IF((AND(FIND('112'!$M$9,G180,1)&gt;=1,$B180&gt;='112'!$N$8,$B180&lt;='112'!$O$8,OR($L180='112'!$I$6,$M180='112'!$I$6))),"x",""))</f>
        <v>x</v>
      </c>
      <c r="S180" s="49" t="str">
        <f>IF(ISERROR(FIND('112'!$M$9,G180,1)),"",IF((AND(LEFT(G180,2)=LEFT('112'!$M$9,2),B180&lt;'112'!$N$8,$L180='112'!$I$6)),"x",""))</f>
        <v/>
      </c>
      <c r="T180" s="49" t="str">
        <f>IF(ISERROR(FIND('112'!$M$9,G180,1)),"",IF((AND(RIGHT(G180,2)=RIGHT('112'!$M$9,2),B180&lt;'112'!$N$8,$M180='112'!$I$6)),"x",""))</f>
        <v/>
      </c>
      <c r="U180" s="49" t="str">
        <f>IF(AND(L180="154",'154'!$O$5&lt;=B180,'154'!$P$5&gt;=B180),"154",IF(AND(L180="632",'632'!$L$5&lt;=B180,'632'!$M$5&gt;=B180),"632",IF(AND(L180="642",'642'!$N$5&lt;=B180,'642'!$O$5&gt;=B180),"642",IF(AND(L180="641",'641'!$N$5&lt;=B180,'641'!$O$5&gt;=B180),"641",""))))</f>
        <v/>
      </c>
      <c r="V180" s="49" t="str">
        <f>IF(OR(TH!L180=TH!$V$7,M180=TH!$V$7),"x","")</f>
        <v/>
      </c>
      <c r="W180" s="49" t="str">
        <f>IF(AND(B180&gt;='IN-NX'!$P$3,B180&lt;='IN-NX'!$Q$3,'IN-NX'!$D$7=D180,OR(LEFT(L180,2)="15",AND(LEFT(M180,2)&lt;&gt;"15",LEFT(M180,2)&lt;&gt;"33"))),"x","")</f>
        <v/>
      </c>
      <c r="X180" s="49" t="str">
        <f>IF(AND(OR(LEFT(TH!L180,2)="15",LEFT(TH!M180,2)="15"),'152-CT'!$J$8=TH!F180),"x","")</f>
        <v/>
      </c>
      <c r="Y180" s="49" t="str">
        <f>IF(AND(OR(LEFT(TH!L180,2)="15",LEFT(TH!M180,2)="15"),TK!$E$7=TH!F180),"x","")</f>
        <v/>
      </c>
      <c r="Z180" s="49" t="str">
        <f>IF(AND(B180&lt;=NKC!$N$8,B180&gt;=NKC!$M$8),"x","")</f>
        <v/>
      </c>
      <c r="AA180" s="723"/>
    </row>
    <row r="181" spans="1:30" s="497" customFormat="1" ht="15.75" hidden="1" customHeight="1">
      <c r="A181" s="724" t="str">
        <f>IF(B181&lt;&gt;"",IF(AND(B181&gt;=_TM1,B181&lt;=_TM2,OR(TH!L181="1111",TH!M181="1111")),TH!D181,""),"")</f>
        <v/>
      </c>
      <c r="B181" s="36">
        <f t="shared" si="11"/>
        <v>11</v>
      </c>
      <c r="C181" s="185">
        <f t="shared" si="12"/>
        <v>41238</v>
      </c>
      <c r="D181" s="178" t="s">
        <v>485</v>
      </c>
      <c r="E181" s="178">
        <v>41238</v>
      </c>
      <c r="F181" s="183" t="s">
        <v>475</v>
      </c>
      <c r="G181" s="731" t="s">
        <v>374</v>
      </c>
      <c r="H181" s="187"/>
      <c r="I181" s="247"/>
      <c r="J181" s="247"/>
      <c r="K181" s="505">
        <v>11000</v>
      </c>
      <c r="L181" s="506" t="s">
        <v>83</v>
      </c>
      <c r="M181" s="506" t="s">
        <v>24</v>
      </c>
      <c r="N181" s="49" t="str">
        <f>IF(AND('331-CT'!$E$7=TH!H181,OR(L181="331",M181="331")),"331",IF(AND(OR(L181="131",M181="131"),H181='131-CT'!$E$7),"131",""))</f>
        <v/>
      </c>
      <c r="O181" s="49" t="str">
        <f>IF(AND($B181&gt;='111'!$N$11,$B181&lt;='111'!$O$11,OR($L181=$O$7,$M181=$O$7)),"x","")</f>
        <v/>
      </c>
      <c r="P181" s="49" t="str">
        <f>IF(AND($L181=$O$7,$B181&lt;'111'!$N$11),"x","")</f>
        <v/>
      </c>
      <c r="Q181" s="49" t="str">
        <f>IF(AND($M181=$O$7,$B181&lt;'111'!$N$11),"x","")</f>
        <v/>
      </c>
      <c r="R181" s="49" t="str">
        <f>IF(ISERROR(FIND('112'!$M$9,G181,1)),"",IF((AND(FIND('112'!$M$9,G181,1)&gt;=1,$B181&gt;='112'!$N$8,$B181&lt;='112'!$O$8,OR($L181='112'!$I$6,$M181='112'!$I$6))),"x",""))</f>
        <v>x</v>
      </c>
      <c r="S181" s="49" t="str">
        <f>IF(ISERROR(FIND('112'!$M$9,G181,1)),"",IF((AND(LEFT(G181,2)=LEFT('112'!$M$9,2),B181&lt;'112'!$N$8,$L181='112'!$I$6)),"x",""))</f>
        <v/>
      </c>
      <c r="T181" s="49" t="str">
        <f>IF(ISERROR(FIND('112'!$M$9,G181,1)),"",IF((AND(RIGHT(G181,2)=RIGHT('112'!$M$9,2),B181&lt;'112'!$N$8,$M181='112'!$I$6)),"x",""))</f>
        <v/>
      </c>
      <c r="U181" s="49" t="str">
        <f>IF(AND(L181="154",'154'!$O$5&lt;=B181,'154'!$P$5&gt;=B181),"154",IF(AND(L181="632",'632'!$L$5&lt;=B181,'632'!$M$5&gt;=B181),"632",IF(AND(L181="642",'642'!$N$5&lt;=B181,'642'!$O$5&gt;=B181),"642",IF(AND(L181="641",'641'!$N$5&lt;=B181,'641'!$O$5&gt;=B181),"641",""))))</f>
        <v/>
      </c>
      <c r="V181" s="49" t="str">
        <f>IF(OR(TH!L181=TH!$V$7,M181=TH!$V$7),"x","")</f>
        <v/>
      </c>
      <c r="W181" s="49" t="str">
        <f>IF(AND(B181&gt;='IN-NX'!$P$3,B181&lt;='IN-NX'!$Q$3,'IN-NX'!$D$7=D181,OR(LEFT(L181,2)="15",AND(LEFT(M181,2)&lt;&gt;"15",LEFT(M181,2)&lt;&gt;"33"))),"x","")</f>
        <v/>
      </c>
      <c r="X181" s="49" t="str">
        <f>IF(AND(OR(LEFT(TH!L181,2)="15",LEFT(TH!M181,2)="15"),'152-CT'!$J$8=TH!F181),"x","")</f>
        <v/>
      </c>
      <c r="Y181" s="49" t="str">
        <f>IF(AND(OR(LEFT(TH!L181,2)="15",LEFT(TH!M181,2)="15"),TK!$E$7=TH!F181),"x","")</f>
        <v/>
      </c>
      <c r="Z181" s="49" t="str">
        <f>IF(AND(B181&lt;=NKC!$N$8,B181&gt;=NKC!$M$8),"x","")</f>
        <v/>
      </c>
      <c r="AA181" s="723"/>
    </row>
    <row r="182" spans="1:30" s="497" customFormat="1" ht="15.75" hidden="1" customHeight="1">
      <c r="A182" s="724" t="str">
        <f>IF(B182&lt;&gt;"",IF(AND(B182&gt;=_TM1,B182&lt;=_TM2,OR(TH!L182="1111",TH!M182="1111")),TH!D182,""),"")</f>
        <v/>
      </c>
      <c r="B182" s="36">
        <f t="shared" si="11"/>
        <v>11</v>
      </c>
      <c r="C182" s="185">
        <f t="shared" si="12"/>
        <v>41240</v>
      </c>
      <c r="D182" s="178" t="s">
        <v>607</v>
      </c>
      <c r="E182" s="185">
        <v>41240</v>
      </c>
      <c r="F182" s="186" t="s">
        <v>569</v>
      </c>
      <c r="G182" s="732" t="s">
        <v>570</v>
      </c>
      <c r="H182" s="187" t="s">
        <v>571</v>
      </c>
      <c r="I182" s="247">
        <v>800</v>
      </c>
      <c r="J182" s="247">
        <v>5320</v>
      </c>
      <c r="K182" s="505">
        <f>ROUND(I182*J182,0)</f>
        <v>4256000</v>
      </c>
      <c r="L182" s="506" t="s">
        <v>252</v>
      </c>
      <c r="M182" s="506" t="s">
        <v>164</v>
      </c>
      <c r="N182" s="49" t="str">
        <f>IF(AND('331-CT'!$E$7=TH!H182,OR(L182="331",M182="331")),"331",IF(AND(OR(L182="131",M182="131"),H182='131-CT'!$E$7),"131",""))</f>
        <v/>
      </c>
      <c r="O182" s="49" t="str">
        <f>IF(AND($B182&gt;='111'!$N$11,$B182&lt;='111'!$O$11,OR($L182=$O$7,$M182=$O$7)),"x","")</f>
        <v/>
      </c>
      <c r="P182" s="49" t="str">
        <f>IF(AND($L182=$O$7,$B182&lt;'111'!$N$11),"x","")</f>
        <v/>
      </c>
      <c r="Q182" s="49" t="str">
        <f>IF(AND($M182=$O$7,$B182&lt;'111'!$N$11),"x","")</f>
        <v/>
      </c>
      <c r="R182" s="49" t="str">
        <f>IF(ISERROR(FIND('112'!$M$9,G182,1)),"",IF((AND(FIND('112'!$M$9,G182,1)&gt;=1,$B182&gt;='112'!$N$8,$B182&lt;='112'!$O$8,OR($L182='112'!$I$6,$M182='112'!$I$6))),"x",""))</f>
        <v/>
      </c>
      <c r="S182" s="49" t="str">
        <f>IF(ISERROR(FIND('112'!$M$9,G182,1)),"",IF((AND(LEFT(G182,2)=LEFT('112'!$M$9,2),B182&lt;'112'!$N$8,$L182='112'!$I$6)),"x",""))</f>
        <v/>
      </c>
      <c r="T182" s="49" t="str">
        <f>IF(ISERROR(FIND('112'!$M$9,G182,1)),"",IF((AND(RIGHT(G182,2)=RIGHT('112'!$M$9,2),B182&lt;'112'!$N$8,$M182='112'!$I$6)),"x",""))</f>
        <v/>
      </c>
      <c r="U182" s="49" t="str">
        <f>IF(AND(L182="154",'154'!$O$5&lt;=B182,'154'!$P$5&gt;=B182),"154",IF(AND(L182="632",'632'!$L$5&lt;=B182,'632'!$M$5&gt;=B182),"632",IF(AND(L182="642",'642'!$N$5&lt;=B182,'642'!$O$5&gt;=B182),"642",IF(AND(L182="641",'641'!$N$5&lt;=B182,'641'!$O$5&gt;=B182),"641",""))))</f>
        <v/>
      </c>
      <c r="V182" s="49" t="str">
        <f>IF(OR(TH!L182=TH!$V$7,M182=TH!$V$7),"x","")</f>
        <v/>
      </c>
      <c r="W182" s="49" t="str">
        <f>IF(AND(B182&gt;='IN-NX'!$P$3,B182&lt;='IN-NX'!$Q$3,'IN-NX'!$D$7=D182,OR(LEFT(L182,2)="15",AND(LEFT(M182,2)&lt;&gt;"15",LEFT(M182,2)&lt;&gt;"33"))),"x","")</f>
        <v/>
      </c>
      <c r="X182" s="49" t="str">
        <f>IF(AND(OR(LEFT(TH!L182,2)="15",LEFT(TH!M182,2)="15"),'152-CT'!$J$8=TH!F182),"x","")</f>
        <v/>
      </c>
      <c r="Y182" s="49" t="str">
        <f>IF(AND(OR(LEFT(TH!L182,2)="15",LEFT(TH!M182,2)="15"),TK!$E$7=TH!F182),"x","")</f>
        <v/>
      </c>
      <c r="Z182" s="49" t="str">
        <f>IF(AND(B182&lt;=NKC!$N$8,B182&gt;=NKC!$M$8),"x","")</f>
        <v/>
      </c>
      <c r="AA182" s="723"/>
    </row>
    <row r="183" spans="1:30" s="199" customFormat="1" ht="15.75" hidden="1" customHeight="1">
      <c r="A183" s="724" t="str">
        <f>IF(B183&lt;&gt;"",IF(AND(B183&gt;=_TM1,B183&lt;=_TM2,OR(TH!L183="1111",TH!M183="1111")),TH!D183,""),"")</f>
        <v/>
      </c>
      <c r="B183" s="36">
        <f t="shared" si="11"/>
        <v>11</v>
      </c>
      <c r="C183" s="185">
        <f t="shared" si="12"/>
        <v>41240</v>
      </c>
      <c r="D183" s="178" t="s">
        <v>607</v>
      </c>
      <c r="E183" s="185">
        <v>41240</v>
      </c>
      <c r="F183" s="186" t="s">
        <v>572</v>
      </c>
      <c r="G183" s="732" t="s">
        <v>570</v>
      </c>
      <c r="H183" s="187" t="s">
        <v>571</v>
      </c>
      <c r="I183" s="247">
        <v>300</v>
      </c>
      <c r="J183" s="247">
        <v>6340</v>
      </c>
      <c r="K183" s="505">
        <f>ROUND(I183*J183,0)</f>
        <v>1902000</v>
      </c>
      <c r="L183" s="506" t="s">
        <v>252</v>
      </c>
      <c r="M183" s="506" t="s">
        <v>164</v>
      </c>
      <c r="N183" s="49" t="str">
        <f>IF(AND('331-CT'!$E$7=TH!H183,OR(L183="331",M183="331")),"331",IF(AND(OR(L183="131",M183="131"),H183='131-CT'!$E$7),"131",""))</f>
        <v/>
      </c>
      <c r="O183" s="49" t="str">
        <f>IF(AND($B183&gt;='111'!$N$11,$B183&lt;='111'!$O$11,OR($L183=$O$7,$M183=$O$7)),"x","")</f>
        <v/>
      </c>
      <c r="P183" s="49" t="str">
        <f>IF(AND($L183=$O$7,$B183&lt;'111'!$N$11),"x","")</f>
        <v/>
      </c>
      <c r="Q183" s="49" t="str">
        <f>IF(AND($M183=$O$7,$B183&lt;'111'!$N$11),"x","")</f>
        <v/>
      </c>
      <c r="R183" s="49" t="str">
        <f>IF(ISERROR(FIND('112'!$M$9,G183,1)),"",IF((AND(FIND('112'!$M$9,G183,1)&gt;=1,$B183&gt;='112'!$N$8,$B183&lt;='112'!$O$8,OR($L183='112'!$I$6,$M183='112'!$I$6))),"x",""))</f>
        <v/>
      </c>
      <c r="S183" s="49" t="str">
        <f>IF(ISERROR(FIND('112'!$M$9,G183,1)),"",IF((AND(LEFT(G183,2)=LEFT('112'!$M$9,2),B183&lt;'112'!$N$8,$L183='112'!$I$6)),"x",""))</f>
        <v/>
      </c>
      <c r="T183" s="49" t="str">
        <f>IF(ISERROR(FIND('112'!$M$9,G183,1)),"",IF((AND(RIGHT(G183,2)=RIGHT('112'!$M$9,2),B183&lt;'112'!$N$8,$M183='112'!$I$6)),"x",""))</f>
        <v/>
      </c>
      <c r="U183" s="49" t="str">
        <f>IF(AND(L183="154",'154'!$O$5&lt;=B183,'154'!$P$5&gt;=B183),"154",IF(AND(L183="632",'632'!$L$5&lt;=B183,'632'!$M$5&gt;=B183),"632",IF(AND(L183="642",'642'!$N$5&lt;=B183,'642'!$O$5&gt;=B183),"642",IF(AND(L183="641",'641'!$N$5&lt;=B183,'641'!$O$5&gt;=B183),"641",""))))</f>
        <v/>
      </c>
      <c r="V183" s="49" t="str">
        <f>IF(OR(TH!L183=TH!$V$7,M183=TH!$V$7),"x","")</f>
        <v/>
      </c>
      <c r="W183" s="49" t="str">
        <f>IF(AND(B183&gt;='IN-NX'!$P$3,B183&lt;='IN-NX'!$Q$3,'IN-NX'!$D$7=D183,OR(LEFT(L183,2)="15",AND(LEFT(M183,2)&lt;&gt;"15",LEFT(M183,2)&lt;&gt;"33"))),"x","")</f>
        <v/>
      </c>
      <c r="X183" s="49" t="str">
        <f>IF(AND(OR(LEFT(TH!L183,2)="15",LEFT(TH!M183,2)="15"),'152-CT'!$J$8=TH!F183),"x","")</f>
        <v/>
      </c>
      <c r="Y183" s="49" t="str">
        <f>IF(AND(OR(LEFT(TH!L183,2)="15",LEFT(TH!M183,2)="15"),TK!$E$7=TH!F183),"x","")</f>
        <v/>
      </c>
      <c r="Z183" s="49" t="str">
        <f>IF(AND(B183&lt;=NKC!$N$8,B183&gt;=NKC!$M$8),"x","")</f>
        <v/>
      </c>
      <c r="AA183" s="723"/>
      <c r="AB183" s="497"/>
    </row>
    <row r="184" spans="1:30" s="199" customFormat="1" ht="15.75" hidden="1" customHeight="1">
      <c r="A184" s="724" t="str">
        <f>IF(B184&lt;&gt;"",IF(AND(B184&gt;=_TM1,B184&lt;=_TM2,OR(TH!L184="1111",TH!M184="1111")),TH!D184,""),"")</f>
        <v/>
      </c>
      <c r="B184" s="36">
        <f t="shared" si="11"/>
        <v>11</v>
      </c>
      <c r="C184" s="185">
        <f t="shared" si="12"/>
        <v>41240</v>
      </c>
      <c r="D184" s="178" t="s">
        <v>607</v>
      </c>
      <c r="E184" s="185">
        <v>41240</v>
      </c>
      <c r="F184" s="186" t="s">
        <v>573</v>
      </c>
      <c r="G184" s="732" t="s">
        <v>570</v>
      </c>
      <c r="H184" s="187" t="s">
        <v>571</v>
      </c>
      <c r="I184" s="247">
        <v>350</v>
      </c>
      <c r="J184" s="247">
        <v>6600</v>
      </c>
      <c r="K184" s="505">
        <f>ROUND(I184*J184,0)</f>
        <v>2310000</v>
      </c>
      <c r="L184" s="506" t="s">
        <v>252</v>
      </c>
      <c r="M184" s="506" t="s">
        <v>164</v>
      </c>
      <c r="N184" s="49" t="str">
        <f>IF(AND('331-CT'!$E$7=TH!H184,OR(L184="331",M184="331")),"331",IF(AND(OR(L184="131",M184="131"),H184='131-CT'!$E$7),"131",""))</f>
        <v/>
      </c>
      <c r="O184" s="49" t="str">
        <f>IF(AND($B184&gt;='111'!$N$11,$B184&lt;='111'!$O$11,OR($L184=$O$7,$M184=$O$7)),"x","")</f>
        <v/>
      </c>
      <c r="P184" s="49" t="str">
        <f>IF(AND($L184=$O$7,$B184&lt;'111'!$N$11),"x","")</f>
        <v/>
      </c>
      <c r="Q184" s="49" t="str">
        <f>IF(AND($M184=$O$7,$B184&lt;'111'!$N$11),"x","")</f>
        <v/>
      </c>
      <c r="R184" s="49" t="str">
        <f>IF(ISERROR(FIND('112'!$M$9,G184,1)),"",IF((AND(FIND('112'!$M$9,G184,1)&gt;=1,$B184&gt;='112'!$N$8,$B184&lt;='112'!$O$8,OR($L184='112'!$I$6,$M184='112'!$I$6))),"x",""))</f>
        <v/>
      </c>
      <c r="S184" s="49" t="str">
        <f>IF(ISERROR(FIND('112'!$M$9,G184,1)),"",IF((AND(LEFT(G184,2)=LEFT('112'!$M$9,2),B184&lt;'112'!$N$8,$L184='112'!$I$6)),"x",""))</f>
        <v/>
      </c>
      <c r="T184" s="49" t="str">
        <f>IF(ISERROR(FIND('112'!$M$9,G184,1)),"",IF((AND(RIGHT(G184,2)=RIGHT('112'!$M$9,2),B184&lt;'112'!$N$8,$M184='112'!$I$6)),"x",""))</f>
        <v/>
      </c>
      <c r="U184" s="49" t="str">
        <f>IF(AND(L184="154",'154'!$O$5&lt;=B184,'154'!$P$5&gt;=B184),"154",IF(AND(L184="632",'632'!$L$5&lt;=B184,'632'!$M$5&gt;=B184),"632",IF(AND(L184="642",'642'!$N$5&lt;=B184,'642'!$O$5&gt;=B184),"642",IF(AND(L184="641",'641'!$N$5&lt;=B184,'641'!$O$5&gt;=B184),"641",""))))</f>
        <v/>
      </c>
      <c r="V184" s="49" t="str">
        <f>IF(OR(TH!L184=TH!$V$7,M184=TH!$V$7),"x","")</f>
        <v/>
      </c>
      <c r="W184" s="49" t="str">
        <f>IF(AND(B184&gt;='IN-NX'!$P$3,B184&lt;='IN-NX'!$Q$3,'IN-NX'!$D$7=D184,OR(LEFT(L184,2)="15",AND(LEFT(M184,2)&lt;&gt;"15",LEFT(M184,2)&lt;&gt;"33"))),"x","")</f>
        <v/>
      </c>
      <c r="X184" s="49" t="str">
        <f>IF(AND(OR(LEFT(TH!L184,2)="15",LEFT(TH!M184,2)="15"),'152-CT'!$J$8=TH!F184),"x","")</f>
        <v/>
      </c>
      <c r="Y184" s="49" t="str">
        <f>IF(AND(OR(LEFT(TH!L184,2)="15",LEFT(TH!M184,2)="15"),TK!$E$7=TH!F184),"x","")</f>
        <v/>
      </c>
      <c r="Z184" s="49" t="str">
        <f>IF(AND(B184&lt;=NKC!$N$8,B184&gt;=NKC!$M$8),"x","")</f>
        <v/>
      </c>
      <c r="AA184" s="723"/>
      <c r="AB184" s="497"/>
    </row>
    <row r="185" spans="1:30" s="199" customFormat="1" ht="15.75" hidden="1" customHeight="1">
      <c r="A185" s="724" t="str">
        <f>IF(B185&lt;&gt;"",IF(AND(B185&gt;=_TM1,B185&lt;=_TM2,OR(TH!L185="1111",TH!M185="1111")),TH!D185,""),"")</f>
        <v/>
      </c>
      <c r="B185" s="36">
        <f t="shared" si="11"/>
        <v>11</v>
      </c>
      <c r="C185" s="185">
        <f t="shared" si="12"/>
        <v>41240</v>
      </c>
      <c r="D185" s="178" t="s">
        <v>607</v>
      </c>
      <c r="E185" s="185">
        <v>41240</v>
      </c>
      <c r="F185" s="186" t="s">
        <v>574</v>
      </c>
      <c r="G185" s="732" t="s">
        <v>570</v>
      </c>
      <c r="H185" s="187" t="s">
        <v>571</v>
      </c>
      <c r="I185" s="247">
        <v>500</v>
      </c>
      <c r="J185" s="247">
        <v>7420</v>
      </c>
      <c r="K185" s="505">
        <f>ROUND(I185*J185,0)</f>
        <v>3710000</v>
      </c>
      <c r="L185" s="506" t="s">
        <v>252</v>
      </c>
      <c r="M185" s="506" t="s">
        <v>164</v>
      </c>
      <c r="N185" s="49" t="str">
        <f>IF(AND('331-CT'!$E$7=TH!H185,OR(L185="331",M185="331")),"331",IF(AND(OR(L185="131",M185="131"),H185='131-CT'!$E$7),"131",""))</f>
        <v/>
      </c>
      <c r="O185" s="49" t="str">
        <f>IF(AND($B185&gt;='111'!$N$11,$B185&lt;='111'!$O$11,OR($L185=$O$7,$M185=$O$7)),"x","")</f>
        <v/>
      </c>
      <c r="P185" s="49" t="str">
        <f>IF(AND($L185=$O$7,$B185&lt;'111'!$N$11),"x","")</f>
        <v/>
      </c>
      <c r="Q185" s="49" t="str">
        <f>IF(AND($M185=$O$7,$B185&lt;'111'!$N$11),"x","")</f>
        <v/>
      </c>
      <c r="R185" s="49" t="str">
        <f>IF(ISERROR(FIND('112'!$M$9,G185,1)),"",IF((AND(FIND('112'!$M$9,G185,1)&gt;=1,$B185&gt;='112'!$N$8,$B185&lt;='112'!$O$8,OR($L185='112'!$I$6,$M185='112'!$I$6))),"x",""))</f>
        <v/>
      </c>
      <c r="S185" s="49" t="str">
        <f>IF(ISERROR(FIND('112'!$M$9,G185,1)),"",IF((AND(LEFT(G185,2)=LEFT('112'!$M$9,2),B185&lt;'112'!$N$8,$L185='112'!$I$6)),"x",""))</f>
        <v/>
      </c>
      <c r="T185" s="49" t="str">
        <f>IF(ISERROR(FIND('112'!$M$9,G185,1)),"",IF((AND(RIGHT(G185,2)=RIGHT('112'!$M$9,2),B185&lt;'112'!$N$8,$M185='112'!$I$6)),"x",""))</f>
        <v/>
      </c>
      <c r="U185" s="49" t="str">
        <f>IF(AND(L185="154",'154'!$O$5&lt;=B185,'154'!$P$5&gt;=B185),"154",IF(AND(L185="632",'632'!$L$5&lt;=B185,'632'!$M$5&gt;=B185),"632",IF(AND(L185="642",'642'!$N$5&lt;=B185,'642'!$O$5&gt;=B185),"642",IF(AND(L185="641",'641'!$N$5&lt;=B185,'641'!$O$5&gt;=B185),"641",""))))</f>
        <v/>
      </c>
      <c r="V185" s="49" t="str">
        <f>IF(OR(TH!L185=TH!$V$7,M185=TH!$V$7),"x","")</f>
        <v/>
      </c>
      <c r="W185" s="49" t="str">
        <f>IF(AND(B185&gt;='IN-NX'!$P$3,B185&lt;='IN-NX'!$Q$3,'IN-NX'!$D$7=D185,OR(LEFT(L185,2)="15",AND(LEFT(M185,2)&lt;&gt;"15",LEFT(M185,2)&lt;&gt;"33"))),"x","")</f>
        <v/>
      </c>
      <c r="X185" s="49" t="str">
        <f>IF(AND(OR(LEFT(TH!L185,2)="15",LEFT(TH!M185,2)="15"),'152-CT'!$J$8=TH!F185),"x","")</f>
        <v/>
      </c>
      <c r="Y185" s="49" t="str">
        <f>IF(AND(OR(LEFT(TH!L185,2)="15",LEFT(TH!M185,2)="15"),TK!$E$7=TH!F185),"x","")</f>
        <v/>
      </c>
      <c r="Z185" s="49" t="str">
        <f>IF(AND(B185&lt;=NKC!$N$8,B185&gt;=NKC!$M$8),"x","")</f>
        <v/>
      </c>
      <c r="AA185" s="723"/>
      <c r="AB185" s="497"/>
    </row>
    <row r="186" spans="1:30" s="199" customFormat="1" ht="15.75" hidden="1" customHeight="1">
      <c r="A186" s="724" t="str">
        <f>IF(B186&lt;&gt;"",IF(AND(B186&gt;=_TM1,B186&lt;=_TM2,OR(TH!L186="1111",TH!M186="1111")),TH!D186,""),"")</f>
        <v/>
      </c>
      <c r="B186" s="36">
        <f t="shared" si="11"/>
        <v>11</v>
      </c>
      <c r="C186" s="185">
        <f t="shared" si="12"/>
        <v>41240</v>
      </c>
      <c r="D186" s="178" t="s">
        <v>607</v>
      </c>
      <c r="E186" s="185">
        <v>41240</v>
      </c>
      <c r="F186" s="186" t="s">
        <v>538</v>
      </c>
      <c r="G186" s="732" t="s">
        <v>570</v>
      </c>
      <c r="H186" s="187" t="s">
        <v>571</v>
      </c>
      <c r="I186" s="247"/>
      <c r="J186" s="247"/>
      <c r="K186" s="505">
        <v>1217800</v>
      </c>
      <c r="L186" s="506" t="s">
        <v>252</v>
      </c>
      <c r="M186" s="506" t="s">
        <v>297</v>
      </c>
      <c r="N186" s="49" t="str">
        <f>IF(AND('331-CT'!$E$7=TH!H186,OR(L186="331",M186="331")),"331",IF(AND(OR(L186="131",M186="131"),H186='131-CT'!$E$7),"131",""))</f>
        <v/>
      </c>
      <c r="O186" s="49" t="str">
        <f>IF(AND($B186&gt;='111'!$N$11,$B186&lt;='111'!$O$11,OR($L186=$O$7,$M186=$O$7)),"x","")</f>
        <v/>
      </c>
      <c r="P186" s="49" t="str">
        <f>IF(AND($L186=$O$7,$B186&lt;'111'!$N$11),"x","")</f>
        <v/>
      </c>
      <c r="Q186" s="49" t="str">
        <f>IF(AND($M186=$O$7,$B186&lt;'111'!$N$11),"x","")</f>
        <v/>
      </c>
      <c r="R186" s="49" t="str">
        <f>IF(ISERROR(FIND('112'!$M$9,G186,1)),"",IF((AND(FIND('112'!$M$9,G186,1)&gt;=1,$B186&gt;='112'!$N$8,$B186&lt;='112'!$O$8,OR($L186='112'!$I$6,$M186='112'!$I$6))),"x",""))</f>
        <v/>
      </c>
      <c r="S186" s="49" t="str">
        <f>IF(ISERROR(FIND('112'!$M$9,G186,1)),"",IF((AND(LEFT(G186,2)=LEFT('112'!$M$9,2),B186&lt;'112'!$N$8,$L186='112'!$I$6)),"x",""))</f>
        <v/>
      </c>
      <c r="T186" s="49" t="str">
        <f>IF(ISERROR(FIND('112'!$M$9,G186,1)),"",IF((AND(RIGHT(G186,2)=RIGHT('112'!$M$9,2),B186&lt;'112'!$N$8,$M186='112'!$I$6)),"x",""))</f>
        <v/>
      </c>
      <c r="U186" s="49" t="str">
        <f>IF(AND(L186="154",'154'!$O$5&lt;=B186,'154'!$P$5&gt;=B186),"154",IF(AND(L186="632",'632'!$L$5&lt;=B186,'632'!$M$5&gt;=B186),"632",IF(AND(L186="642",'642'!$N$5&lt;=B186,'642'!$O$5&gt;=B186),"642",IF(AND(L186="641",'641'!$N$5&lt;=B186,'641'!$O$5&gt;=B186),"641",""))))</f>
        <v/>
      </c>
      <c r="V186" s="49" t="str">
        <f>IF(OR(TH!L186=TH!$V$7,M186=TH!$V$7),"x","")</f>
        <v/>
      </c>
      <c r="W186" s="49" t="str">
        <f>IF(AND(B186&gt;='IN-NX'!$P$3,B186&lt;='IN-NX'!$Q$3,'IN-NX'!$D$7=D186,OR(LEFT(L186,2)="15",AND(LEFT(M186,2)&lt;&gt;"15",LEFT(M186,2)&lt;&gt;"33"))),"x","")</f>
        <v/>
      </c>
      <c r="X186" s="49" t="str">
        <f>IF(AND(OR(LEFT(TH!L186,2)="15",LEFT(TH!M186,2)="15"),'152-CT'!$J$8=TH!F186),"x","")</f>
        <v/>
      </c>
      <c r="Y186" s="49" t="str">
        <f>IF(AND(OR(LEFT(TH!L186,2)="15",LEFT(TH!M186,2)="15"),TK!$E$7=TH!F186),"x","")</f>
        <v/>
      </c>
      <c r="Z186" s="49" t="str">
        <f>IF(AND(B186&lt;=NKC!$N$8,B186&gt;=NKC!$M$8),"x","")</f>
        <v/>
      </c>
      <c r="AA186" s="723"/>
      <c r="AB186" s="497"/>
    </row>
    <row r="187" spans="1:30" s="199" customFormat="1" ht="15.75" hidden="1" customHeight="1">
      <c r="A187" s="724" t="str">
        <f>IF(B187&lt;&gt;"",IF(AND(B187&gt;=_TM1,B187&lt;=_TM2,OR(TH!L187="1111",TH!M187="1111")),TH!D187,""),"")</f>
        <v>T13</v>
      </c>
      <c r="B187" s="36">
        <f t="shared" si="11"/>
        <v>11</v>
      </c>
      <c r="C187" s="185">
        <f t="shared" si="12"/>
        <v>41240</v>
      </c>
      <c r="D187" s="178" t="s">
        <v>621</v>
      </c>
      <c r="E187" s="185">
        <v>41240</v>
      </c>
      <c r="F187" s="186" t="s">
        <v>476</v>
      </c>
      <c r="G187" s="732" t="s">
        <v>570</v>
      </c>
      <c r="H187" s="187" t="s">
        <v>571</v>
      </c>
      <c r="I187" s="247"/>
      <c r="J187" s="247"/>
      <c r="K187" s="505">
        <v>13395800</v>
      </c>
      <c r="L187" s="506" t="s">
        <v>47</v>
      </c>
      <c r="M187" s="506" t="s">
        <v>252</v>
      </c>
      <c r="N187" s="49" t="str">
        <f>IF(AND('331-CT'!$E$7=TH!H187,OR(L187="331",M187="331")),"331",IF(AND(OR(L187="131",M187="131"),H187='131-CT'!$E$7),"131",""))</f>
        <v/>
      </c>
      <c r="O187" s="49" t="str">
        <f>IF(AND($B187&gt;='111'!$N$11,$B187&lt;='111'!$O$11,OR($L187=$O$7,$M187=$O$7)),"x","")</f>
        <v>x</v>
      </c>
      <c r="P187" s="49" t="str">
        <f>IF(AND($L187=$O$7,$B187&lt;'111'!$N$11),"x","")</f>
        <v/>
      </c>
      <c r="Q187" s="49" t="str">
        <f>IF(AND($M187=$O$7,$B187&lt;'111'!$N$11),"x","")</f>
        <v/>
      </c>
      <c r="R187" s="49" t="str">
        <f>IF(ISERROR(FIND('112'!$M$9,G187,1)),"",IF((AND(FIND('112'!$M$9,G187,1)&gt;=1,$B187&gt;='112'!$N$8,$B187&lt;='112'!$O$8,OR($L187='112'!$I$6,$M187='112'!$I$6))),"x",""))</f>
        <v/>
      </c>
      <c r="S187" s="49" t="str">
        <f>IF(ISERROR(FIND('112'!$M$9,G187,1)),"",IF((AND(LEFT(G187,2)=LEFT('112'!$M$9,2),B187&lt;'112'!$N$8,$L187='112'!$I$6)),"x",""))</f>
        <v/>
      </c>
      <c r="T187" s="49" t="str">
        <f>IF(ISERROR(FIND('112'!$M$9,G187,1)),"",IF((AND(RIGHT(G187,2)=RIGHT('112'!$M$9,2),B187&lt;'112'!$N$8,$M187='112'!$I$6)),"x",""))</f>
        <v/>
      </c>
      <c r="U187" s="49" t="str">
        <f>IF(AND(L187="154",'154'!$O$5&lt;=B187,'154'!$P$5&gt;=B187),"154",IF(AND(L187="632",'632'!$L$5&lt;=B187,'632'!$M$5&gt;=B187),"632",IF(AND(L187="642",'642'!$N$5&lt;=B187,'642'!$O$5&gt;=B187),"642",IF(AND(L187="641",'641'!$N$5&lt;=B187,'641'!$O$5&gt;=B187),"641",""))))</f>
        <v/>
      </c>
      <c r="V187" s="49" t="str">
        <f>IF(OR(TH!L187=TH!$V$7,M187=TH!$V$7),"x","")</f>
        <v/>
      </c>
      <c r="W187" s="49" t="str">
        <f>IF(AND(B187&gt;='IN-NX'!$P$3,B187&lt;='IN-NX'!$Q$3,'IN-NX'!$D$7=D187,OR(LEFT(L187,2)="15",AND(LEFT(M187,2)&lt;&gt;"15",LEFT(M187,2)&lt;&gt;"33"))),"x","")</f>
        <v/>
      </c>
      <c r="X187" s="49" t="str">
        <f>IF(AND(OR(LEFT(TH!L187,2)="15",LEFT(TH!M187,2)="15"),'152-CT'!$J$8=TH!F187),"x","")</f>
        <v/>
      </c>
      <c r="Y187" s="49" t="str">
        <f>IF(AND(OR(LEFT(TH!L187,2)="15",LEFT(TH!M187,2)="15"),TK!$E$7=TH!F187),"x","")</f>
        <v/>
      </c>
      <c r="Z187" s="49" t="str">
        <f>IF(AND(B187&lt;=NKC!$N$8,B187&gt;=NKC!$M$8),"x","")</f>
        <v/>
      </c>
      <c r="AA187" s="723"/>
      <c r="AB187" s="497"/>
    </row>
    <row r="188" spans="1:30" s="199" customFormat="1" ht="15.75" hidden="1" customHeight="1">
      <c r="A188" s="724" t="str">
        <f>IF(B188&lt;&gt;"",IF(AND(B188&gt;=_TM1,B188&lt;=_TM2,OR(TH!L188="1111",TH!M188="1111")),TH!D188,""),"")</f>
        <v/>
      </c>
      <c r="B188" s="36">
        <f t="shared" si="11"/>
        <v>11</v>
      </c>
      <c r="C188" s="185">
        <f t="shared" si="12"/>
        <v>41242</v>
      </c>
      <c r="D188" s="178" t="s">
        <v>473</v>
      </c>
      <c r="E188" s="178">
        <v>41242</v>
      </c>
      <c r="F188" s="183" t="s">
        <v>476</v>
      </c>
      <c r="G188" s="731" t="s">
        <v>374</v>
      </c>
      <c r="H188" s="187" t="s">
        <v>552</v>
      </c>
      <c r="I188" s="247"/>
      <c r="J188" s="247"/>
      <c r="K188" s="505">
        <v>8415000</v>
      </c>
      <c r="L188" s="506" t="s">
        <v>24</v>
      </c>
      <c r="M188" s="506" t="s">
        <v>252</v>
      </c>
      <c r="N188" s="49" t="str">
        <f>IF(AND('331-CT'!$E$7=TH!H188,OR(L188="331",M188="331")),"331",IF(AND(OR(L188="131",M188="131"),H188='131-CT'!$E$7),"131",""))</f>
        <v/>
      </c>
      <c r="O188" s="49" t="str">
        <f>IF(AND($B188&gt;='111'!$N$11,$B188&lt;='111'!$O$11,OR($L188=$O$7,$M188=$O$7)),"x","")</f>
        <v/>
      </c>
      <c r="P188" s="49" t="str">
        <f>IF(AND($L188=$O$7,$B188&lt;'111'!$N$11),"x","")</f>
        <v/>
      </c>
      <c r="Q188" s="49" t="str">
        <f>IF(AND($M188=$O$7,$B188&lt;'111'!$N$11),"x","")</f>
        <v/>
      </c>
      <c r="R188" s="49" t="str">
        <f>IF(ISERROR(FIND('112'!$M$9,G188,1)),"",IF((AND(FIND('112'!$M$9,G188,1)&gt;=1,$B188&gt;='112'!$N$8,$B188&lt;='112'!$O$8,OR($L188='112'!$I$6,$M188='112'!$I$6))),"x",""))</f>
        <v>x</v>
      </c>
      <c r="S188" s="49" t="str">
        <f>IF(ISERROR(FIND('112'!$M$9,G188,1)),"",IF((AND(LEFT(G188,2)=LEFT('112'!$M$9,2),B188&lt;'112'!$N$8,$L188='112'!$I$6)),"x",""))</f>
        <v/>
      </c>
      <c r="T188" s="49" t="str">
        <f>IF(ISERROR(FIND('112'!$M$9,G188,1)),"",IF((AND(RIGHT(G188,2)=RIGHT('112'!$M$9,2),B188&lt;'112'!$N$8,$M188='112'!$I$6)),"x",""))</f>
        <v/>
      </c>
      <c r="U188" s="49" t="str">
        <f>IF(AND(L188="154",'154'!$O$5&lt;=B188,'154'!$P$5&gt;=B188),"154",IF(AND(L188="632",'632'!$L$5&lt;=B188,'632'!$M$5&gt;=B188),"632",IF(AND(L188="642",'642'!$N$5&lt;=B188,'642'!$O$5&gt;=B188),"642",IF(AND(L188="641",'641'!$N$5&lt;=B188,'641'!$O$5&gt;=B188),"641",""))))</f>
        <v/>
      </c>
      <c r="V188" s="49" t="str">
        <f>IF(OR(TH!L188=TH!$V$7,M188=TH!$V$7),"x","")</f>
        <v/>
      </c>
      <c r="W188" s="49" t="str">
        <f>IF(AND(B188&gt;='IN-NX'!$P$3,B188&lt;='IN-NX'!$Q$3,'IN-NX'!$D$7=D188,OR(LEFT(L188,2)="15",AND(LEFT(M188,2)&lt;&gt;"15",LEFT(M188,2)&lt;&gt;"33"))),"x","")</f>
        <v/>
      </c>
      <c r="X188" s="49" t="str">
        <f>IF(AND(OR(LEFT(TH!L188,2)="15",LEFT(TH!M188,2)="15"),'152-CT'!$J$8=TH!F188),"x","")</f>
        <v/>
      </c>
      <c r="Y188" s="49" t="str">
        <f>IF(AND(OR(LEFT(TH!L188,2)="15",LEFT(TH!M188,2)="15"),TK!$E$7=TH!F188),"x","")</f>
        <v/>
      </c>
      <c r="Z188" s="49" t="str">
        <f>IF(AND(B188&lt;=NKC!$N$8,B188&gt;=NKC!$M$8),"x","")</f>
        <v/>
      </c>
      <c r="AA188" s="723"/>
      <c r="AB188" s="497"/>
      <c r="AC188" s="497"/>
      <c r="AD188" s="497"/>
    </row>
    <row r="189" spans="1:30" s="199" customFormat="1" ht="15.75" hidden="1" customHeight="1">
      <c r="A189" s="724" t="str">
        <f>IF(B189&lt;&gt;"",IF(AND(B189&gt;=_TM1,B189&lt;=_TM2,OR(TH!L189="1111",TH!M189="1111")),TH!D189,""),"")</f>
        <v>C21</v>
      </c>
      <c r="B189" s="36">
        <f t="shared" si="11"/>
        <v>11</v>
      </c>
      <c r="C189" s="185">
        <f t="shared" si="12"/>
        <v>41242</v>
      </c>
      <c r="D189" s="185" t="s">
        <v>294</v>
      </c>
      <c r="E189" s="178">
        <v>41242</v>
      </c>
      <c r="F189" s="183" t="s">
        <v>437</v>
      </c>
      <c r="G189" s="731" t="s">
        <v>439</v>
      </c>
      <c r="H189" s="187" t="s">
        <v>436</v>
      </c>
      <c r="I189" s="247"/>
      <c r="J189" s="247"/>
      <c r="K189" s="37">
        <v>3000000</v>
      </c>
      <c r="L189" s="188" t="s">
        <v>83</v>
      </c>
      <c r="M189" s="188" t="s">
        <v>47</v>
      </c>
      <c r="N189" s="49" t="str">
        <f>IF(AND('331-CT'!$E$7=TH!H189,OR(L189="331",M189="331")),"331",IF(AND(OR(L189="131",M189="131"),H189='131-CT'!$E$7),"131",""))</f>
        <v/>
      </c>
      <c r="O189" s="49" t="str">
        <f>IF(AND($B189&gt;='111'!$N$11,$B189&lt;='111'!$O$11,OR($L189=$O$7,$M189=$O$7)),"x","")</f>
        <v>x</v>
      </c>
      <c r="P189" s="49" t="str">
        <f>IF(AND($L189=$O$7,$B189&lt;'111'!$N$11),"x","")</f>
        <v/>
      </c>
      <c r="Q189" s="49" t="str">
        <f>IF(AND($M189=$O$7,$B189&lt;'111'!$N$11),"x","")</f>
        <v/>
      </c>
      <c r="R189" s="49" t="str">
        <f>IF(ISERROR(FIND('112'!$M$9,G189,1)),"",IF((AND(FIND('112'!$M$9,G189,1)&gt;=1,$B189&gt;='112'!$N$8,$B189&lt;='112'!$O$8,OR($L189='112'!$I$6,$M189='112'!$I$6))),"x",""))</f>
        <v/>
      </c>
      <c r="S189" s="49" t="str">
        <f>IF(ISERROR(FIND('112'!$M$9,G189,1)),"",IF((AND(LEFT(G189,2)=LEFT('112'!$M$9,2),B189&lt;'112'!$N$8,$L189='112'!$I$6)),"x",""))</f>
        <v/>
      </c>
      <c r="T189" s="49" t="str">
        <f>IF(ISERROR(FIND('112'!$M$9,G189,1)),"",IF((AND(RIGHT(G189,2)=RIGHT('112'!$M$9,2),B189&lt;'112'!$N$8,$M189='112'!$I$6)),"x",""))</f>
        <v/>
      </c>
      <c r="U189" s="49" t="str">
        <f>IF(AND(L189="154",'154'!$O$5&lt;=B189,'154'!$P$5&gt;=B189),"154",IF(AND(L189="632",'632'!$L$5&lt;=B189,'632'!$M$5&gt;=B189),"632",IF(AND(L189="642",'642'!$N$5&lt;=B189,'642'!$O$5&gt;=B189),"642",IF(AND(L189="641",'641'!$N$5&lt;=B189,'641'!$O$5&gt;=B189),"641",""))))</f>
        <v/>
      </c>
      <c r="V189" s="49" t="str">
        <f>IF(OR(TH!L189=TH!$V$7,M189=TH!$V$7),"x","")</f>
        <v/>
      </c>
      <c r="W189" s="49" t="str">
        <f>IF(AND(B189&gt;='IN-NX'!$P$3,B189&lt;='IN-NX'!$Q$3,'IN-NX'!$D$7=D189,OR(LEFT(L189,2)="15",AND(LEFT(M189,2)&lt;&gt;"15",LEFT(M189,2)&lt;&gt;"33"))),"x","")</f>
        <v/>
      </c>
      <c r="X189" s="49" t="str">
        <f>IF(AND(OR(LEFT(TH!L189,2)="15",LEFT(TH!M189,2)="15"),'152-CT'!$J$8=TH!F189),"x","")</f>
        <v/>
      </c>
      <c r="Y189" s="49" t="str">
        <f>IF(AND(OR(LEFT(TH!L189,2)="15",LEFT(TH!M189,2)="15"),TK!$E$7=TH!F189),"x","")</f>
        <v/>
      </c>
      <c r="Z189" s="49" t="str">
        <f>IF(AND(B189&lt;=NKC!$N$8,B189&gt;=NKC!$M$8),"x","")</f>
        <v/>
      </c>
      <c r="AA189" s="723"/>
      <c r="AB189" s="497"/>
    </row>
    <row r="190" spans="1:30" s="497" customFormat="1" ht="15.75" customHeight="1">
      <c r="A190" s="724" t="str">
        <f>IF(B190&lt;&gt;"",IF(AND(B190&gt;=_TM1,B190&lt;=_TM2,OR(TH!L190="1111",TH!M190="1111")),TH!D190,""),"")</f>
        <v>C21</v>
      </c>
      <c r="B190" s="36">
        <f t="shared" si="11"/>
        <v>11</v>
      </c>
      <c r="C190" s="185">
        <f t="shared" si="12"/>
        <v>41242</v>
      </c>
      <c r="D190" s="185" t="s">
        <v>294</v>
      </c>
      <c r="E190" s="178">
        <v>41242</v>
      </c>
      <c r="F190" s="183" t="s">
        <v>438</v>
      </c>
      <c r="G190" s="731" t="s">
        <v>439</v>
      </c>
      <c r="H190" s="187" t="s">
        <v>436</v>
      </c>
      <c r="I190" s="247"/>
      <c r="J190" s="247"/>
      <c r="K190" s="37">
        <v>300000</v>
      </c>
      <c r="L190" s="188" t="s">
        <v>9</v>
      </c>
      <c r="M190" s="188" t="s">
        <v>47</v>
      </c>
      <c r="N190" s="49" t="str">
        <f>IF(AND('331-CT'!$E$7=TH!H190,OR(L190="331",M190="331")),"331",IF(AND(OR(L190="131",M190="131"),H190='131-CT'!$E$7),"131",""))</f>
        <v/>
      </c>
      <c r="O190" s="49" t="str">
        <f>IF(AND($B190&gt;='111'!$N$11,$B190&lt;='111'!$O$11,OR($L190=$O$7,$M190=$O$7)),"x","")</f>
        <v>x</v>
      </c>
      <c r="P190" s="49" t="str">
        <f>IF(AND($L190=$O$7,$B190&lt;'111'!$N$11),"x","")</f>
        <v/>
      </c>
      <c r="Q190" s="49" t="str">
        <f>IF(AND($M190=$O$7,$B190&lt;'111'!$N$11),"x","")</f>
        <v/>
      </c>
      <c r="R190" s="49" t="str">
        <f>IF(ISERROR(FIND('112'!$M$9,G190,1)),"",IF((AND(FIND('112'!$M$9,G190,1)&gt;=1,$B190&gt;='112'!$N$8,$B190&lt;='112'!$O$8,OR($L190='112'!$I$6,$M190='112'!$I$6))),"x",""))</f>
        <v/>
      </c>
      <c r="S190" s="49" t="str">
        <f>IF(ISERROR(FIND('112'!$M$9,G190,1)),"",IF((AND(LEFT(G190,2)=LEFT('112'!$M$9,2),B190&lt;'112'!$N$8,$L190='112'!$I$6)),"x",""))</f>
        <v/>
      </c>
      <c r="T190" s="49" t="str">
        <f>IF(ISERROR(FIND('112'!$M$9,G190,1)),"",IF((AND(RIGHT(G190,2)=RIGHT('112'!$M$9,2),B190&lt;'112'!$N$8,$M190='112'!$I$6)),"x",""))</f>
        <v/>
      </c>
      <c r="U190" s="49" t="str">
        <f>IF(AND(L190="154",'154'!$O$5&lt;=B190,'154'!$P$5&gt;=B190),"154",IF(AND(L190="632",'632'!$L$5&lt;=B190,'632'!$M$5&gt;=B190),"632",IF(AND(L190="642",'642'!$N$5&lt;=B190,'642'!$O$5&gt;=B190),"642",IF(AND(L190="641",'641'!$N$5&lt;=B190,'641'!$O$5&gt;=B190),"641",""))))</f>
        <v/>
      </c>
      <c r="V190" s="49" t="str">
        <f>IF(OR(TH!L190=TH!$V$7,M190=TH!$V$7),"x","")</f>
        <v>x</v>
      </c>
      <c r="W190" s="49" t="str">
        <f>IF(AND(B190&gt;='IN-NX'!$P$3,B190&lt;='IN-NX'!$Q$3,'IN-NX'!$D$7=D190,OR(LEFT(L190,2)="15",AND(LEFT(M190,2)&lt;&gt;"15",LEFT(M190,2)&lt;&gt;"33"))),"x","")</f>
        <v/>
      </c>
      <c r="X190" s="49" t="str">
        <f>IF(AND(OR(LEFT(TH!L190,2)="15",LEFT(TH!M190,2)="15"),'152-CT'!$J$8=TH!F190),"x","")</f>
        <v/>
      </c>
      <c r="Y190" s="49" t="str">
        <f>IF(AND(OR(LEFT(TH!L190,2)="15",LEFT(TH!M190,2)="15"),TK!$E$7=TH!F190),"x","")</f>
        <v/>
      </c>
      <c r="Z190" s="49" t="str">
        <f>IF(AND(B190&lt;=NKC!$N$8,B190&gt;=NKC!$M$8),"x","")</f>
        <v/>
      </c>
      <c r="AA190" s="723"/>
      <c r="AC190" s="199"/>
      <c r="AD190" s="199"/>
    </row>
    <row r="191" spans="1:30" s="497" customFormat="1" ht="15.75" hidden="1" customHeight="1">
      <c r="A191" s="724" t="str">
        <f>IF(B191&lt;&gt;"",IF(AND(B191&gt;=_TM1,B191&lt;=_TM2,OR(TH!L191="1111",TH!M191="1111")),TH!D191,""),"")</f>
        <v>C22</v>
      </c>
      <c r="B191" s="36">
        <f t="shared" si="11"/>
        <v>12</v>
      </c>
      <c r="C191" s="185">
        <f t="shared" si="12"/>
        <v>41244</v>
      </c>
      <c r="D191" s="185" t="s">
        <v>518</v>
      </c>
      <c r="E191" s="178">
        <v>41244</v>
      </c>
      <c r="F191" s="183" t="s">
        <v>441</v>
      </c>
      <c r="G191" s="731" t="s">
        <v>440</v>
      </c>
      <c r="H191" s="7" t="s">
        <v>420</v>
      </c>
      <c r="I191" s="247"/>
      <c r="J191" s="247"/>
      <c r="K191" s="37">
        <v>1713000</v>
      </c>
      <c r="L191" s="188" t="s">
        <v>160</v>
      </c>
      <c r="M191" s="188" t="s">
        <v>47</v>
      </c>
      <c r="N191" s="49" t="str">
        <f>IF(AND('331-CT'!$E$7=TH!H191,OR(L191="331",M191="331")),"331",IF(AND(OR(L191="131",M191="131"),H191='131-CT'!$E$7),"131",""))</f>
        <v/>
      </c>
      <c r="O191" s="49" t="str">
        <f>IF(AND($B191&gt;='111'!$N$11,$B191&lt;='111'!$O$11,OR($L191=$O$7,$M191=$O$7)),"x","")</f>
        <v>x</v>
      </c>
      <c r="P191" s="49" t="str">
        <f>IF(AND($L191=$O$7,$B191&lt;'111'!$N$11),"x","")</f>
        <v/>
      </c>
      <c r="Q191" s="49" t="str">
        <f>IF(AND($M191=$O$7,$B191&lt;'111'!$N$11),"x","")</f>
        <v/>
      </c>
      <c r="R191" s="49" t="str">
        <f>IF(ISERROR(FIND('112'!$M$9,G191,1)),"",IF((AND(FIND('112'!$M$9,G191,1)&gt;=1,$B191&gt;='112'!$N$8,$B191&lt;='112'!$O$8,OR($L191='112'!$I$6,$M191='112'!$I$6))),"x",""))</f>
        <v/>
      </c>
      <c r="S191" s="49" t="str">
        <f>IF(ISERROR(FIND('112'!$M$9,G191,1)),"",IF((AND(LEFT(G191,2)=LEFT('112'!$M$9,2),B191&lt;'112'!$N$8,$L191='112'!$I$6)),"x",""))</f>
        <v/>
      </c>
      <c r="T191" s="49" t="str">
        <f>IF(ISERROR(FIND('112'!$M$9,G191,1)),"",IF((AND(RIGHT(G191,2)=RIGHT('112'!$M$9,2),B191&lt;'112'!$N$8,$M191='112'!$I$6)),"x",""))</f>
        <v/>
      </c>
      <c r="U191" s="49" t="str">
        <f>IF(AND(L191="154",'154'!$O$5&lt;=B191,'154'!$P$5&gt;=B191),"154",IF(AND(L191="632",'632'!$L$5&lt;=B191,'632'!$M$5&gt;=B191),"632",IF(AND(L191="642",'642'!$N$5&lt;=B191,'642'!$O$5&gt;=B191),"642",IF(AND(L191="641",'641'!$N$5&lt;=B191,'641'!$O$5&gt;=B191),"641",""))))</f>
        <v/>
      </c>
      <c r="V191" s="49" t="str">
        <f>IF(OR(TH!L191=TH!$V$7,M191=TH!$V$7),"x","")</f>
        <v/>
      </c>
      <c r="W191" s="49" t="str">
        <f>IF(AND(B191&gt;='IN-NX'!$P$3,B191&lt;='IN-NX'!$Q$3,'IN-NX'!$D$7=D191,OR(LEFT(L191,2)="15",AND(LEFT(M191,2)&lt;&gt;"15",LEFT(M191,2)&lt;&gt;"33"))),"x","")</f>
        <v/>
      </c>
      <c r="X191" s="49" t="str">
        <f>IF(AND(OR(LEFT(TH!L191,2)="15",LEFT(TH!M191,2)="15"),'152-CT'!$J$8=TH!F191),"x","")</f>
        <v/>
      </c>
      <c r="Y191" s="49" t="str">
        <f>IF(AND(OR(LEFT(TH!L191,2)="15",LEFT(TH!M191,2)="15"),TK!$E$7=TH!F191),"x","")</f>
        <v/>
      </c>
      <c r="Z191" s="49" t="str">
        <f>IF(AND(B191&lt;=NKC!$N$8,B191&gt;=NKC!$M$8),"x","")</f>
        <v/>
      </c>
      <c r="AA191" s="723"/>
      <c r="AC191" s="199"/>
      <c r="AD191" s="199"/>
    </row>
    <row r="192" spans="1:30" s="497" customFormat="1" ht="15.75" hidden="1" customHeight="1">
      <c r="A192" s="724" t="str">
        <f>IF(B192&lt;&gt;"",IF(AND(B192&gt;=_TM1,B192&lt;=_TM2,OR(TH!L192="1111",TH!M192="1111")),TH!D192,""),"")</f>
        <v/>
      </c>
      <c r="B192" s="36">
        <f t="shared" si="11"/>
        <v>12</v>
      </c>
      <c r="C192" s="185">
        <f t="shared" si="12"/>
        <v>41246</v>
      </c>
      <c r="D192" s="178" t="s">
        <v>519</v>
      </c>
      <c r="E192" s="178">
        <v>41246</v>
      </c>
      <c r="F192" s="183" t="s">
        <v>466</v>
      </c>
      <c r="G192" s="732" t="s">
        <v>589</v>
      </c>
      <c r="H192" s="7" t="s">
        <v>390</v>
      </c>
      <c r="I192" s="247">
        <v>500</v>
      </c>
      <c r="J192" s="247">
        <v>12194</v>
      </c>
      <c r="K192" s="37">
        <f>ROUND(I192*J192,0)</f>
        <v>6097000</v>
      </c>
      <c r="L192" s="188" t="s">
        <v>375</v>
      </c>
      <c r="M192" s="188" t="s">
        <v>8</v>
      </c>
      <c r="N192" s="49" t="str">
        <f>IF(AND('331-CT'!$E$7=TH!H192,OR(L192="331",M192="331")),"331",IF(AND(OR(L192="131",M192="131"),H192='131-CT'!$E$7),"131",""))</f>
        <v>331</v>
      </c>
      <c r="O192" s="49" t="str">
        <f>IF(AND($B192&gt;='111'!$N$11,$B192&lt;='111'!$O$11,OR($L192=$O$7,$M192=$O$7)),"x","")</f>
        <v/>
      </c>
      <c r="P192" s="49" t="str">
        <f>IF(AND($L192=$O$7,$B192&lt;'111'!$N$11),"x","")</f>
        <v/>
      </c>
      <c r="Q192" s="49" t="str">
        <f>IF(AND($M192=$O$7,$B192&lt;'111'!$N$11),"x","")</f>
        <v/>
      </c>
      <c r="R192" s="49" t="str">
        <f>IF(ISERROR(FIND('112'!$M$9,G192,1)),"",IF((AND(FIND('112'!$M$9,G192,1)&gt;=1,$B192&gt;='112'!$N$8,$B192&lt;='112'!$O$8,OR($L192='112'!$I$6,$M192='112'!$I$6))),"x",""))</f>
        <v/>
      </c>
      <c r="S192" s="49" t="str">
        <f>IF(ISERROR(FIND('112'!$M$9,G192,1)),"",IF((AND(LEFT(G192,2)=LEFT('112'!$M$9,2),B192&lt;'112'!$N$8,$L192='112'!$I$6)),"x",""))</f>
        <v/>
      </c>
      <c r="T192" s="49" t="str">
        <f>IF(ISERROR(FIND('112'!$M$9,G192,1)),"",IF((AND(RIGHT(G192,2)=RIGHT('112'!$M$9,2),B192&lt;'112'!$N$8,$M192='112'!$I$6)),"x",""))</f>
        <v/>
      </c>
      <c r="U192" s="49" t="str">
        <f>IF(AND(L192="154",'154'!$O$5&lt;=B192,'154'!$P$5&gt;=B192),"154",IF(AND(L192="632",'632'!$L$5&lt;=B192,'632'!$M$5&gt;=B192),"632",IF(AND(L192="642",'642'!$N$5&lt;=B192,'642'!$O$5&gt;=B192),"642",IF(AND(L192="641",'641'!$N$5&lt;=B192,'641'!$O$5&gt;=B192),"641",""))))</f>
        <v/>
      </c>
      <c r="V192" s="49" t="str">
        <f>IF(OR(TH!L192=TH!$V$7,M192=TH!$V$7),"x","")</f>
        <v/>
      </c>
      <c r="W192" s="49" t="str">
        <f>IF(AND(B192&gt;='IN-NX'!$P$3,B192&lt;='IN-NX'!$Q$3,'IN-NX'!$D$7=D192,OR(LEFT(L192,2)="15",AND(LEFT(M192,2)&lt;&gt;"15",LEFT(M192,2)&lt;&gt;"33"))),"x","")</f>
        <v/>
      </c>
      <c r="X192" s="49" t="str">
        <f>IF(AND(OR(LEFT(TH!L192,2)="15",LEFT(TH!M192,2)="15"),'152-CT'!$J$8=TH!F192),"x","")</f>
        <v/>
      </c>
      <c r="Y192" s="49" t="str">
        <f>IF(AND(OR(LEFT(TH!L192,2)="15",LEFT(TH!M192,2)="15"),TK!$E$7=TH!F192),"x","")</f>
        <v/>
      </c>
      <c r="Z192" s="49" t="str">
        <f>IF(AND(B192&lt;=NKC!$N$8,B192&gt;=NKC!$M$8),"x","")</f>
        <v/>
      </c>
      <c r="AA192" s="723"/>
    </row>
    <row r="193" spans="1:30" s="497" customFormat="1" ht="15.75" hidden="1" customHeight="1">
      <c r="A193" s="724" t="str">
        <f>IF(B193&lt;&gt;"",IF(AND(B193&gt;=_TM1,B193&lt;=_TM2,OR(TH!L193="1111",TH!M193="1111")),TH!D193,""),"")</f>
        <v/>
      </c>
      <c r="B193" s="36">
        <f t="shared" si="11"/>
        <v>12</v>
      </c>
      <c r="C193" s="185">
        <f t="shared" si="12"/>
        <v>41246</v>
      </c>
      <c r="D193" s="178" t="s">
        <v>519</v>
      </c>
      <c r="E193" s="178">
        <v>41246</v>
      </c>
      <c r="F193" s="183" t="s">
        <v>467</v>
      </c>
      <c r="G193" s="732" t="s">
        <v>589</v>
      </c>
      <c r="H193" s="7" t="s">
        <v>390</v>
      </c>
      <c r="I193" s="247">
        <v>750</v>
      </c>
      <c r="J193" s="247">
        <v>9672</v>
      </c>
      <c r="K193" s="37">
        <f>ROUND(I193*J193,0)</f>
        <v>7254000</v>
      </c>
      <c r="L193" s="188" t="s">
        <v>375</v>
      </c>
      <c r="M193" s="188" t="s">
        <v>8</v>
      </c>
      <c r="N193" s="49" t="str">
        <f>IF(AND('331-CT'!$E$7=TH!H193,OR(L193="331",M193="331")),"331",IF(AND(OR(L193="131",M193="131"),H193='131-CT'!$E$7),"131",""))</f>
        <v>331</v>
      </c>
      <c r="O193" s="49" t="str">
        <f>IF(AND($B193&gt;='111'!$N$11,$B193&lt;='111'!$O$11,OR($L193=$O$7,$M193=$O$7)),"x","")</f>
        <v/>
      </c>
      <c r="P193" s="49" t="str">
        <f>IF(AND($L193=$O$7,$B193&lt;'111'!$N$11),"x","")</f>
        <v/>
      </c>
      <c r="Q193" s="49" t="str">
        <f>IF(AND($M193=$O$7,$B193&lt;'111'!$N$11),"x","")</f>
        <v/>
      </c>
      <c r="R193" s="49" t="str">
        <f>IF(ISERROR(FIND('112'!$M$9,G193,1)),"",IF((AND(FIND('112'!$M$9,G193,1)&gt;=1,$B193&gt;='112'!$N$8,$B193&lt;='112'!$O$8,OR($L193='112'!$I$6,$M193='112'!$I$6))),"x",""))</f>
        <v/>
      </c>
      <c r="S193" s="49" t="str">
        <f>IF(ISERROR(FIND('112'!$M$9,G193,1)),"",IF((AND(LEFT(G193,2)=LEFT('112'!$M$9,2),B193&lt;'112'!$N$8,$L193='112'!$I$6)),"x",""))</f>
        <v/>
      </c>
      <c r="T193" s="49" t="str">
        <f>IF(ISERROR(FIND('112'!$M$9,G193,1)),"",IF((AND(RIGHT(G193,2)=RIGHT('112'!$M$9,2),B193&lt;'112'!$N$8,$M193='112'!$I$6)),"x",""))</f>
        <v/>
      </c>
      <c r="U193" s="49" t="str">
        <f>IF(AND(L193="154",'154'!$O$5&lt;=B193,'154'!$P$5&gt;=B193),"154",IF(AND(L193="632",'632'!$L$5&lt;=B193,'632'!$M$5&gt;=B193),"632",IF(AND(L193="642",'642'!$N$5&lt;=B193,'642'!$O$5&gt;=B193),"642",IF(AND(L193="641",'641'!$N$5&lt;=B193,'641'!$O$5&gt;=B193),"641",""))))</f>
        <v/>
      </c>
      <c r="V193" s="49" t="str">
        <f>IF(OR(TH!L193=TH!$V$7,M193=TH!$V$7),"x","")</f>
        <v/>
      </c>
      <c r="W193" s="49" t="str">
        <f>IF(AND(B193&gt;='IN-NX'!$P$3,B193&lt;='IN-NX'!$Q$3,'IN-NX'!$D$7=D193,OR(LEFT(L193,2)="15",AND(LEFT(M193,2)&lt;&gt;"15",LEFT(M193,2)&lt;&gt;"33"))),"x","")</f>
        <v/>
      </c>
      <c r="X193" s="49" t="str">
        <f>IF(AND(OR(LEFT(TH!L193,2)="15",LEFT(TH!M193,2)="15"),'152-CT'!$J$8=TH!F193),"x","")</f>
        <v/>
      </c>
      <c r="Y193" s="49" t="str">
        <f>IF(AND(OR(LEFT(TH!L193,2)="15",LEFT(TH!M193,2)="15"),TK!$E$7=TH!F193),"x","")</f>
        <v/>
      </c>
      <c r="Z193" s="49" t="str">
        <f>IF(AND(B193&lt;=NKC!$N$8,B193&gt;=NKC!$M$8),"x","")</f>
        <v/>
      </c>
      <c r="AA193" s="723"/>
    </row>
    <row r="194" spans="1:30" s="497" customFormat="1" ht="15.75" customHeight="1">
      <c r="A194" s="724" t="str">
        <f>IF(B194&lt;&gt;"",IF(AND(B194&gt;=_TM1,B194&lt;=_TM2,OR(TH!L194="1111",TH!M194="1111")),TH!D194,""),"")</f>
        <v/>
      </c>
      <c r="B194" s="36">
        <f t="shared" si="11"/>
        <v>12</v>
      </c>
      <c r="C194" s="185">
        <f t="shared" si="12"/>
        <v>41246</v>
      </c>
      <c r="D194" s="178" t="s">
        <v>519</v>
      </c>
      <c r="E194" s="178">
        <v>41246</v>
      </c>
      <c r="F194" s="183" t="s">
        <v>392</v>
      </c>
      <c r="G194" s="732" t="s">
        <v>589</v>
      </c>
      <c r="H194" s="7" t="s">
        <v>390</v>
      </c>
      <c r="I194" s="247"/>
      <c r="J194" s="247"/>
      <c r="K194" s="37">
        <v>1335100</v>
      </c>
      <c r="L194" s="188" t="s">
        <v>9</v>
      </c>
      <c r="M194" s="188" t="s">
        <v>8</v>
      </c>
      <c r="N194" s="49" t="str">
        <f>IF(AND('331-CT'!$E$7=TH!H194,OR(L194="331",M194="331")),"331",IF(AND(OR(L194="131",M194="131"),H194='131-CT'!$E$7),"131",""))</f>
        <v>331</v>
      </c>
      <c r="O194" s="49" t="str">
        <f>IF(AND($B194&gt;='111'!$N$11,$B194&lt;='111'!$O$11,OR($L194=$O$7,$M194=$O$7)),"x","")</f>
        <v/>
      </c>
      <c r="P194" s="49" t="str">
        <f>IF(AND($L194=$O$7,$B194&lt;'111'!$N$11),"x","")</f>
        <v/>
      </c>
      <c r="Q194" s="49" t="str">
        <f>IF(AND($M194=$O$7,$B194&lt;'111'!$N$11),"x","")</f>
        <v/>
      </c>
      <c r="R194" s="49" t="str">
        <f>IF(ISERROR(FIND('112'!$M$9,G194,1)),"",IF((AND(FIND('112'!$M$9,G194,1)&gt;=1,$B194&gt;='112'!$N$8,$B194&lt;='112'!$O$8,OR($L194='112'!$I$6,$M194='112'!$I$6))),"x",""))</f>
        <v/>
      </c>
      <c r="S194" s="49" t="str">
        <f>IF(ISERROR(FIND('112'!$M$9,G194,1)),"",IF((AND(LEFT(G194,2)=LEFT('112'!$M$9,2),B194&lt;'112'!$N$8,$L194='112'!$I$6)),"x",""))</f>
        <v/>
      </c>
      <c r="T194" s="49" t="str">
        <f>IF(ISERROR(FIND('112'!$M$9,G194,1)),"",IF((AND(RIGHT(G194,2)=RIGHT('112'!$M$9,2),B194&lt;'112'!$N$8,$M194='112'!$I$6)),"x",""))</f>
        <v/>
      </c>
      <c r="U194" s="49" t="str">
        <f>IF(AND(L194="154",'154'!$O$5&lt;=B194,'154'!$P$5&gt;=B194),"154",IF(AND(L194="632",'632'!$L$5&lt;=B194,'632'!$M$5&gt;=B194),"632",IF(AND(L194="642",'642'!$N$5&lt;=B194,'642'!$O$5&gt;=B194),"642",IF(AND(L194="641",'641'!$N$5&lt;=B194,'641'!$O$5&gt;=B194),"641",""))))</f>
        <v/>
      </c>
      <c r="V194" s="49" t="str">
        <f>IF(OR(TH!L194=TH!$V$7,M194=TH!$V$7),"x","")</f>
        <v>x</v>
      </c>
      <c r="W194" s="49" t="str">
        <f>IF(AND(B194&gt;='IN-NX'!$P$3,B194&lt;='IN-NX'!$Q$3,'IN-NX'!$D$7=D194,OR(LEFT(L194,2)="15",AND(LEFT(M194,2)&lt;&gt;"15",LEFT(M194,2)&lt;&gt;"33"))),"x","")</f>
        <v/>
      </c>
      <c r="X194" s="49" t="str">
        <f>IF(AND(OR(LEFT(TH!L194,2)="15",LEFT(TH!M194,2)="15"),'152-CT'!$J$8=TH!F194),"x","")</f>
        <v/>
      </c>
      <c r="Y194" s="49" t="str">
        <f>IF(AND(OR(LEFT(TH!L194,2)="15",LEFT(TH!M194,2)="15"),TK!$E$7=TH!F194),"x","")</f>
        <v/>
      </c>
      <c r="Z194" s="49" t="str">
        <f>IF(AND(B194&lt;=NKC!$N$8,B194&gt;=NKC!$M$8),"x","")</f>
        <v/>
      </c>
      <c r="AA194" s="723">
        <v>12</v>
      </c>
    </row>
    <row r="195" spans="1:30" s="497" customFormat="1" ht="15.75" hidden="1" customHeight="1">
      <c r="A195" s="724" t="str">
        <f>IF(B195&lt;&gt;"",IF(AND(B195&gt;=_TM1,B195&lt;=_TM2,OR(TH!L195="1111",TH!M195="1111")),TH!D195,""),"")</f>
        <v>C23</v>
      </c>
      <c r="B195" s="36">
        <f t="shared" si="11"/>
        <v>12</v>
      </c>
      <c r="C195" s="185">
        <f t="shared" si="12"/>
        <v>41246</v>
      </c>
      <c r="D195" s="185" t="s">
        <v>520</v>
      </c>
      <c r="E195" s="178">
        <v>41246</v>
      </c>
      <c r="F195" s="183" t="s">
        <v>486</v>
      </c>
      <c r="G195" s="732" t="s">
        <v>589</v>
      </c>
      <c r="H195" s="7" t="s">
        <v>390</v>
      </c>
      <c r="I195" s="247"/>
      <c r="J195" s="247"/>
      <c r="K195" s="37">
        <v>14686100</v>
      </c>
      <c r="L195" s="188" t="s">
        <v>8</v>
      </c>
      <c r="M195" s="188" t="s">
        <v>47</v>
      </c>
      <c r="N195" s="49" t="str">
        <f>IF(AND('331-CT'!$E$7=TH!H195,OR(L195="331",M195="331")),"331",IF(AND(OR(L195="131",M195="131"),H195='131-CT'!$E$7),"131",""))</f>
        <v>331</v>
      </c>
      <c r="O195" s="49" t="str">
        <f>IF(AND($B195&gt;='111'!$N$11,$B195&lt;='111'!$O$11,OR($L195=$O$7,$M195=$O$7)),"x","")</f>
        <v>x</v>
      </c>
      <c r="P195" s="49" t="str">
        <f>IF(AND($L195=$O$7,$B195&lt;'111'!$N$11),"x","")</f>
        <v/>
      </c>
      <c r="Q195" s="49" t="str">
        <f>IF(AND($M195=$O$7,$B195&lt;'111'!$N$11),"x","")</f>
        <v/>
      </c>
      <c r="R195" s="49" t="str">
        <f>IF(ISERROR(FIND('112'!$M$9,G195,1)),"",IF((AND(FIND('112'!$M$9,G195,1)&gt;=1,$B195&gt;='112'!$N$8,$B195&lt;='112'!$O$8,OR($L195='112'!$I$6,$M195='112'!$I$6))),"x",""))</f>
        <v/>
      </c>
      <c r="S195" s="49" t="str">
        <f>IF(ISERROR(FIND('112'!$M$9,G195,1)),"",IF((AND(LEFT(G195,2)=LEFT('112'!$M$9,2),B195&lt;'112'!$N$8,$L195='112'!$I$6)),"x",""))</f>
        <v/>
      </c>
      <c r="T195" s="49" t="str">
        <f>IF(ISERROR(FIND('112'!$M$9,G195,1)),"",IF((AND(RIGHT(G195,2)=RIGHT('112'!$M$9,2),B195&lt;'112'!$N$8,$M195='112'!$I$6)),"x",""))</f>
        <v/>
      </c>
      <c r="U195" s="49" t="str">
        <f>IF(AND(L195="154",'154'!$O$5&lt;=B195,'154'!$P$5&gt;=B195),"154",IF(AND(L195="632",'632'!$L$5&lt;=B195,'632'!$M$5&gt;=B195),"632",IF(AND(L195="642",'642'!$N$5&lt;=B195,'642'!$O$5&gt;=B195),"642",IF(AND(L195="641",'641'!$N$5&lt;=B195,'641'!$O$5&gt;=B195),"641",""))))</f>
        <v/>
      </c>
      <c r="V195" s="49" t="str">
        <f>IF(OR(TH!L195=TH!$V$7,M195=TH!$V$7),"x","")</f>
        <v/>
      </c>
      <c r="W195" s="49" t="str">
        <f>IF(AND(B195&gt;='IN-NX'!$P$3,B195&lt;='IN-NX'!$Q$3,'IN-NX'!$D$7=D195,OR(LEFT(L195,2)="15",AND(LEFT(M195,2)&lt;&gt;"15",LEFT(M195,2)&lt;&gt;"33"))),"x","")</f>
        <v/>
      </c>
      <c r="X195" s="49" t="str">
        <f>IF(AND(OR(LEFT(TH!L195,2)="15",LEFT(TH!M195,2)="15"),'152-CT'!$J$8=TH!F195),"x","")</f>
        <v/>
      </c>
      <c r="Y195" s="49" t="str">
        <f>IF(AND(OR(LEFT(TH!L195,2)="15",LEFT(TH!M195,2)="15"),TK!$E$7=TH!F195),"x","")</f>
        <v/>
      </c>
      <c r="Z195" s="49" t="str">
        <f>IF(AND(B195&lt;=NKC!$N$8,B195&gt;=NKC!$M$8),"x","")</f>
        <v/>
      </c>
      <c r="AA195" s="723"/>
      <c r="AC195" s="199"/>
      <c r="AD195" s="199"/>
    </row>
    <row r="196" spans="1:30" s="497" customFormat="1" ht="15.75" hidden="1" customHeight="1">
      <c r="A196" s="724" t="str">
        <f>IF(B196&lt;&gt;"",IF(AND(B196&gt;=_TM1,B196&lt;=_TM2,OR(TH!L196="1111",TH!M196="1111")),TH!D196,""),"")</f>
        <v/>
      </c>
      <c r="B196" s="36">
        <f t="shared" si="11"/>
        <v>12</v>
      </c>
      <c r="C196" s="185">
        <f t="shared" si="12"/>
        <v>41247</v>
      </c>
      <c r="D196" s="178" t="s">
        <v>608</v>
      </c>
      <c r="E196" s="185">
        <v>41247</v>
      </c>
      <c r="F196" s="186" t="s">
        <v>575</v>
      </c>
      <c r="G196" s="732" t="s">
        <v>576</v>
      </c>
      <c r="H196" s="187" t="s">
        <v>552</v>
      </c>
      <c r="I196" s="247">
        <v>1000</v>
      </c>
      <c r="J196" s="247">
        <v>7425</v>
      </c>
      <c r="K196" s="505">
        <f>ROUND(I196*J196,0)</f>
        <v>7425000</v>
      </c>
      <c r="L196" s="506" t="s">
        <v>252</v>
      </c>
      <c r="M196" s="506" t="s">
        <v>164</v>
      </c>
      <c r="N196" s="49" t="str">
        <f>IF(AND('331-CT'!$E$7=TH!H196,OR(L196="331",M196="331")),"331",IF(AND(OR(L196="131",M196="131"),H196='131-CT'!$E$7),"131",""))</f>
        <v/>
      </c>
      <c r="O196" s="49" t="str">
        <f>IF(AND($B196&gt;='111'!$N$11,$B196&lt;='111'!$O$11,OR($L196=$O$7,$M196=$O$7)),"x","")</f>
        <v/>
      </c>
      <c r="P196" s="49" t="str">
        <f>IF(AND($L196=$O$7,$B196&lt;'111'!$N$11),"x","")</f>
        <v/>
      </c>
      <c r="Q196" s="49" t="str">
        <f>IF(AND($M196=$O$7,$B196&lt;'111'!$N$11),"x","")</f>
        <v/>
      </c>
      <c r="R196" s="49" t="str">
        <f>IF(ISERROR(FIND('112'!$M$9,G196,1)),"",IF((AND(FIND('112'!$M$9,G196,1)&gt;=1,$B196&gt;='112'!$N$8,$B196&lt;='112'!$O$8,OR($L196='112'!$I$6,$M196='112'!$I$6))),"x",""))</f>
        <v/>
      </c>
      <c r="S196" s="49" t="str">
        <f>IF(ISERROR(FIND('112'!$M$9,G196,1)),"",IF((AND(LEFT(G196,2)=LEFT('112'!$M$9,2),B196&lt;'112'!$N$8,$L196='112'!$I$6)),"x",""))</f>
        <v/>
      </c>
      <c r="T196" s="49" t="str">
        <f>IF(ISERROR(FIND('112'!$M$9,G196,1)),"",IF((AND(RIGHT(G196,2)=RIGHT('112'!$M$9,2),B196&lt;'112'!$N$8,$M196='112'!$I$6)),"x",""))</f>
        <v/>
      </c>
      <c r="U196" s="49" t="str">
        <f>IF(AND(L196="154",'154'!$O$5&lt;=B196,'154'!$P$5&gt;=B196),"154",IF(AND(L196="632",'632'!$L$5&lt;=B196,'632'!$M$5&gt;=B196),"632",IF(AND(L196="642",'642'!$N$5&lt;=B196,'642'!$O$5&gt;=B196),"642",IF(AND(L196="641",'641'!$N$5&lt;=B196,'641'!$O$5&gt;=B196),"641",""))))</f>
        <v/>
      </c>
      <c r="V196" s="49" t="str">
        <f>IF(OR(TH!L196=TH!$V$7,M196=TH!$V$7),"x","")</f>
        <v/>
      </c>
      <c r="W196" s="49" t="str">
        <f>IF(AND(B196&gt;='IN-NX'!$P$3,B196&lt;='IN-NX'!$Q$3,'IN-NX'!$D$7=D196,OR(LEFT(L196,2)="15",AND(LEFT(M196,2)&lt;&gt;"15",LEFT(M196,2)&lt;&gt;"33"))),"x","")</f>
        <v/>
      </c>
      <c r="X196" s="49" t="str">
        <f>IF(AND(OR(LEFT(TH!L196,2)="15",LEFT(TH!M196,2)="15"),'152-CT'!$J$8=TH!F196),"x","")</f>
        <v/>
      </c>
      <c r="Y196" s="49" t="str">
        <f>IF(AND(OR(LEFT(TH!L196,2)="15",LEFT(TH!M196,2)="15"),TK!$E$7=TH!F196),"x","")</f>
        <v/>
      </c>
      <c r="Z196" s="49" t="str">
        <f>IF(AND(B196&lt;=NKC!$N$8,B196&gt;=NKC!$M$8),"x","")</f>
        <v/>
      </c>
      <c r="AA196" s="723"/>
      <c r="AC196" s="199"/>
      <c r="AD196" s="199"/>
    </row>
    <row r="197" spans="1:30" s="497" customFormat="1" ht="15.75" hidden="1" customHeight="1">
      <c r="A197" s="724" t="str">
        <f>IF(B197&lt;&gt;"",IF(AND(B197&gt;=_TM1,B197&lt;=_TM2,OR(TH!L197="1111",TH!M197="1111")),TH!D197,""),"")</f>
        <v/>
      </c>
      <c r="B197" s="36">
        <f t="shared" si="11"/>
        <v>12</v>
      </c>
      <c r="C197" s="185">
        <f t="shared" si="12"/>
        <v>41247</v>
      </c>
      <c r="D197" s="178" t="s">
        <v>608</v>
      </c>
      <c r="E197" s="185">
        <v>41247</v>
      </c>
      <c r="F197" s="186" t="s">
        <v>555</v>
      </c>
      <c r="G197" s="732" t="s">
        <v>576</v>
      </c>
      <c r="H197" s="187" t="s">
        <v>552</v>
      </c>
      <c r="I197" s="247">
        <v>500</v>
      </c>
      <c r="J197" s="247">
        <v>15500</v>
      </c>
      <c r="K197" s="505">
        <f>ROUND(I197*J197,0)</f>
        <v>7750000</v>
      </c>
      <c r="L197" s="506" t="s">
        <v>252</v>
      </c>
      <c r="M197" s="506" t="s">
        <v>164</v>
      </c>
      <c r="N197" s="49" t="str">
        <f>IF(AND('331-CT'!$E$7=TH!H197,OR(L197="331",M197="331")),"331",IF(AND(OR(L197="131",M197="131"),H197='131-CT'!$E$7),"131",""))</f>
        <v/>
      </c>
      <c r="O197" s="49" t="str">
        <f>IF(AND($B197&gt;='111'!$N$11,$B197&lt;='111'!$O$11,OR($L197=$O$7,$M197=$O$7)),"x","")</f>
        <v/>
      </c>
      <c r="P197" s="49" t="str">
        <f>IF(AND($L197=$O$7,$B197&lt;'111'!$N$11),"x","")</f>
        <v/>
      </c>
      <c r="Q197" s="49" t="str">
        <f>IF(AND($M197=$O$7,$B197&lt;'111'!$N$11),"x","")</f>
        <v/>
      </c>
      <c r="R197" s="49" t="str">
        <f>IF(ISERROR(FIND('112'!$M$9,G197,1)),"",IF((AND(FIND('112'!$M$9,G197,1)&gt;=1,$B197&gt;='112'!$N$8,$B197&lt;='112'!$O$8,OR($L197='112'!$I$6,$M197='112'!$I$6))),"x",""))</f>
        <v/>
      </c>
      <c r="S197" s="49" t="str">
        <f>IF(ISERROR(FIND('112'!$M$9,G197,1)),"",IF((AND(LEFT(G197,2)=LEFT('112'!$M$9,2),B197&lt;'112'!$N$8,$L197='112'!$I$6)),"x",""))</f>
        <v/>
      </c>
      <c r="T197" s="49" t="str">
        <f>IF(ISERROR(FIND('112'!$M$9,G197,1)),"",IF((AND(RIGHT(G197,2)=RIGHT('112'!$M$9,2),B197&lt;'112'!$N$8,$M197='112'!$I$6)),"x",""))</f>
        <v/>
      </c>
      <c r="U197" s="49" t="str">
        <f>IF(AND(L197="154",'154'!$O$5&lt;=B197,'154'!$P$5&gt;=B197),"154",IF(AND(L197="632",'632'!$L$5&lt;=B197,'632'!$M$5&gt;=B197),"632",IF(AND(L197="642",'642'!$N$5&lt;=B197,'642'!$O$5&gt;=B197),"642",IF(AND(L197="641",'641'!$N$5&lt;=B197,'641'!$O$5&gt;=B197),"641",""))))</f>
        <v/>
      </c>
      <c r="V197" s="49" t="str">
        <f>IF(OR(TH!L197=TH!$V$7,M197=TH!$V$7),"x","")</f>
        <v/>
      </c>
      <c r="W197" s="49" t="str">
        <f>IF(AND(B197&gt;='IN-NX'!$P$3,B197&lt;='IN-NX'!$Q$3,'IN-NX'!$D$7=D197,OR(LEFT(L197,2)="15",AND(LEFT(M197,2)&lt;&gt;"15",LEFT(M197,2)&lt;&gt;"33"))),"x","")</f>
        <v/>
      </c>
      <c r="X197" s="49" t="str">
        <f>IF(AND(OR(LEFT(TH!L197,2)="15",LEFT(TH!M197,2)="15"),'152-CT'!$J$8=TH!F197),"x","")</f>
        <v/>
      </c>
      <c r="Y197" s="49" t="str">
        <f>IF(AND(OR(LEFT(TH!L197,2)="15",LEFT(TH!M197,2)="15"),TK!$E$7=TH!F197),"x","")</f>
        <v/>
      </c>
      <c r="Z197" s="49" t="str">
        <f>IF(AND(B197&lt;=NKC!$N$8,B197&gt;=NKC!$M$8),"x","")</f>
        <v/>
      </c>
      <c r="AA197" s="723"/>
      <c r="AC197" s="199"/>
      <c r="AD197" s="199"/>
    </row>
    <row r="198" spans="1:30" s="497" customFormat="1" ht="15.75" hidden="1" customHeight="1">
      <c r="A198" s="724" t="str">
        <f>IF(B198&lt;&gt;"",IF(AND(B198&gt;=_TM1,B198&lt;=_TM2,OR(TH!L198="1111",TH!M198="1111")),TH!D198,""),"")</f>
        <v/>
      </c>
      <c r="B198" s="36">
        <f t="shared" si="11"/>
        <v>12</v>
      </c>
      <c r="C198" s="185">
        <f t="shared" si="12"/>
        <v>41247</v>
      </c>
      <c r="D198" s="178" t="s">
        <v>608</v>
      </c>
      <c r="E198" s="185">
        <v>41247</v>
      </c>
      <c r="F198" s="186" t="s">
        <v>538</v>
      </c>
      <c r="G198" s="732" t="s">
        <v>576</v>
      </c>
      <c r="H198" s="187" t="s">
        <v>552</v>
      </c>
      <c r="I198" s="247"/>
      <c r="J198" s="247"/>
      <c r="K198" s="505">
        <v>1517500</v>
      </c>
      <c r="L198" s="506" t="s">
        <v>252</v>
      </c>
      <c r="M198" s="506" t="s">
        <v>297</v>
      </c>
      <c r="N198" s="49" t="str">
        <f>IF(AND('331-CT'!$E$7=TH!H198,OR(L198="331",M198="331")),"331",IF(AND(OR(L198="131",M198="131"),H198='131-CT'!$E$7),"131",""))</f>
        <v/>
      </c>
      <c r="O198" s="49" t="str">
        <f>IF(AND($B198&gt;='111'!$N$11,$B198&lt;='111'!$O$11,OR($L198=$O$7,$M198=$O$7)),"x","")</f>
        <v/>
      </c>
      <c r="P198" s="49" t="str">
        <f>IF(AND($L198=$O$7,$B198&lt;'111'!$N$11),"x","")</f>
        <v/>
      </c>
      <c r="Q198" s="49" t="str">
        <f>IF(AND($M198=$O$7,$B198&lt;'111'!$N$11),"x","")</f>
        <v/>
      </c>
      <c r="R198" s="49" t="str">
        <f>IF(ISERROR(FIND('112'!$M$9,G198,1)),"",IF((AND(FIND('112'!$M$9,G198,1)&gt;=1,$B198&gt;='112'!$N$8,$B198&lt;='112'!$O$8,OR($L198='112'!$I$6,$M198='112'!$I$6))),"x",""))</f>
        <v/>
      </c>
      <c r="S198" s="49" t="str">
        <f>IF(ISERROR(FIND('112'!$M$9,G198,1)),"",IF((AND(LEFT(G198,2)=LEFT('112'!$M$9,2),B198&lt;'112'!$N$8,$L198='112'!$I$6)),"x",""))</f>
        <v/>
      </c>
      <c r="T198" s="49" t="str">
        <f>IF(ISERROR(FIND('112'!$M$9,G198,1)),"",IF((AND(RIGHT(G198,2)=RIGHT('112'!$M$9,2),B198&lt;'112'!$N$8,$M198='112'!$I$6)),"x",""))</f>
        <v/>
      </c>
      <c r="U198" s="49" t="str">
        <f>IF(AND(L198="154",'154'!$O$5&lt;=B198,'154'!$P$5&gt;=B198),"154",IF(AND(L198="632",'632'!$L$5&lt;=B198,'632'!$M$5&gt;=B198),"632",IF(AND(L198="642",'642'!$N$5&lt;=B198,'642'!$O$5&gt;=B198),"642",IF(AND(L198="641",'641'!$N$5&lt;=B198,'641'!$O$5&gt;=B198),"641",""))))</f>
        <v/>
      </c>
      <c r="V198" s="49" t="str">
        <f>IF(OR(TH!L198=TH!$V$7,M198=TH!$V$7),"x","")</f>
        <v/>
      </c>
      <c r="W198" s="49" t="str">
        <f>IF(AND(B198&gt;='IN-NX'!$P$3,B198&lt;='IN-NX'!$Q$3,'IN-NX'!$D$7=D198,OR(LEFT(L198,2)="15",AND(LEFT(M198,2)&lt;&gt;"15",LEFT(M198,2)&lt;&gt;"33"))),"x","")</f>
        <v/>
      </c>
      <c r="X198" s="49" t="str">
        <f>IF(AND(OR(LEFT(TH!L198,2)="15",LEFT(TH!M198,2)="15"),'152-CT'!$J$8=TH!F198),"x","")</f>
        <v/>
      </c>
      <c r="Y198" s="49" t="str">
        <f>IF(AND(OR(LEFT(TH!L198,2)="15",LEFT(TH!M198,2)="15"),TK!$E$7=TH!F198),"x","")</f>
        <v/>
      </c>
      <c r="Z198" s="49" t="str">
        <f>IF(AND(B198&lt;=NKC!$N$8,B198&gt;=NKC!$M$8),"x","")</f>
        <v/>
      </c>
      <c r="AA198" s="723"/>
      <c r="AC198" s="199"/>
      <c r="AD198" s="199"/>
    </row>
    <row r="199" spans="1:30" s="497" customFormat="1" ht="15.75" hidden="1" customHeight="1">
      <c r="A199" s="724" t="str">
        <f>IF(B199&lt;&gt;"",IF(AND(B199&gt;=_TM1,B199&lt;=_TM2,OR(TH!L199="1111",TH!M199="1111")),TH!D199,""),"")</f>
        <v>T14</v>
      </c>
      <c r="B199" s="36">
        <f t="shared" si="11"/>
        <v>12</v>
      </c>
      <c r="C199" s="185">
        <f t="shared" si="12"/>
        <v>41250</v>
      </c>
      <c r="D199" s="178" t="s">
        <v>622</v>
      </c>
      <c r="E199" s="178">
        <v>41250</v>
      </c>
      <c r="F199" s="183" t="s">
        <v>478</v>
      </c>
      <c r="G199" s="731" t="s">
        <v>374</v>
      </c>
      <c r="H199" s="187" t="s">
        <v>483</v>
      </c>
      <c r="I199" s="247"/>
      <c r="J199" s="247"/>
      <c r="K199" s="505">
        <v>8400000</v>
      </c>
      <c r="L199" s="506" t="s">
        <v>47</v>
      </c>
      <c r="M199" s="506" t="s">
        <v>24</v>
      </c>
      <c r="N199" s="49" t="str">
        <f>IF(AND('331-CT'!$E$7=TH!H199,OR(L199="331",M199="331")),"331",IF(AND(OR(L199="131",M199="131"),H199='131-CT'!$E$7),"131",""))</f>
        <v/>
      </c>
      <c r="O199" s="49" t="str">
        <f>IF(AND($B199&gt;='111'!$N$11,$B199&lt;='111'!$O$11,OR($L199=$O$7,$M199=$O$7)),"x","")</f>
        <v>x</v>
      </c>
      <c r="P199" s="49" t="str">
        <f>IF(AND($L199=$O$7,$B199&lt;'111'!$N$11),"x","")</f>
        <v/>
      </c>
      <c r="Q199" s="49" t="str">
        <f>IF(AND($M199=$O$7,$B199&lt;'111'!$N$11),"x","")</f>
        <v/>
      </c>
      <c r="R199" s="49" t="str">
        <f>IF(ISERROR(FIND('112'!$M$9,G199,1)),"",IF((AND(FIND('112'!$M$9,G199,1)&gt;=1,$B199&gt;='112'!$N$8,$B199&lt;='112'!$O$8,OR($L199='112'!$I$6,$M199='112'!$I$6))),"x",""))</f>
        <v>x</v>
      </c>
      <c r="S199" s="49" t="str">
        <f>IF(ISERROR(FIND('112'!$M$9,G199,1)),"",IF((AND(LEFT(G199,2)=LEFT('112'!$M$9,2),B199&lt;'112'!$N$8,$L199='112'!$I$6)),"x",""))</f>
        <v/>
      </c>
      <c r="T199" s="49" t="str">
        <f>IF(ISERROR(FIND('112'!$M$9,G199,1)),"",IF((AND(RIGHT(G199,2)=RIGHT('112'!$M$9,2),B199&lt;'112'!$N$8,$M199='112'!$I$6)),"x",""))</f>
        <v/>
      </c>
      <c r="U199" s="49" t="str">
        <f>IF(AND(L199="154",'154'!$O$5&lt;=B199,'154'!$P$5&gt;=B199),"154",IF(AND(L199="632",'632'!$L$5&lt;=B199,'632'!$M$5&gt;=B199),"632",IF(AND(L199="642",'642'!$N$5&lt;=B199,'642'!$O$5&gt;=B199),"642",IF(AND(L199="641",'641'!$N$5&lt;=B199,'641'!$O$5&gt;=B199),"641",""))))</f>
        <v/>
      </c>
      <c r="V199" s="49" t="str">
        <f>IF(OR(TH!L199=TH!$V$7,M199=TH!$V$7),"x","")</f>
        <v/>
      </c>
      <c r="W199" s="49" t="str">
        <f>IF(AND(B199&gt;='IN-NX'!$P$3,B199&lt;='IN-NX'!$Q$3,'IN-NX'!$D$7=D199,OR(LEFT(L199,2)="15",AND(LEFT(M199,2)&lt;&gt;"15",LEFT(M199,2)&lt;&gt;"33"))),"x","")</f>
        <v/>
      </c>
      <c r="X199" s="49" t="str">
        <f>IF(AND(OR(LEFT(TH!L199,2)="15",LEFT(TH!M199,2)="15"),'152-CT'!$J$8=TH!F199),"x","")</f>
        <v/>
      </c>
      <c r="Y199" s="49" t="str">
        <f>IF(AND(OR(LEFT(TH!L199,2)="15",LEFT(TH!M199,2)="15"),TK!$E$7=TH!F199),"x","")</f>
        <v/>
      </c>
      <c r="Z199" s="49" t="str">
        <f>IF(AND(B199&lt;=NKC!$N$8,B199&gt;=NKC!$M$8),"x","")</f>
        <v/>
      </c>
      <c r="AA199" s="723"/>
    </row>
    <row r="200" spans="1:30" s="497" customFormat="1" ht="15.75" hidden="1" customHeight="1">
      <c r="A200" s="724" t="str">
        <f>IF(B200&lt;&gt;"",IF(AND(B200&gt;=_TM1,B200&lt;=_TM2,OR(TH!L200="1111",TH!M200="1111")),TH!D200,""),"")</f>
        <v/>
      </c>
      <c r="B200" s="36">
        <f t="shared" si="11"/>
        <v>12</v>
      </c>
      <c r="C200" s="185">
        <f t="shared" si="12"/>
        <v>41250</v>
      </c>
      <c r="D200" s="178" t="s">
        <v>609</v>
      </c>
      <c r="E200" s="185">
        <v>41250</v>
      </c>
      <c r="F200" s="186" t="s">
        <v>549</v>
      </c>
      <c r="G200" s="732" t="s">
        <v>577</v>
      </c>
      <c r="H200" s="187" t="s">
        <v>482</v>
      </c>
      <c r="I200" s="247">
        <v>1520</v>
      </c>
      <c r="J200" s="247">
        <v>5800</v>
      </c>
      <c r="K200" s="505">
        <f>ROUND(I200*J200,0)</f>
        <v>8816000</v>
      </c>
      <c r="L200" s="506" t="s">
        <v>252</v>
      </c>
      <c r="M200" s="506" t="s">
        <v>164</v>
      </c>
      <c r="N200" s="49" t="str">
        <f>IF(AND('331-CT'!$E$7=TH!H200,OR(L200="331",M200="331")),"331",IF(AND(OR(L200="131",M200="131"),H200='131-CT'!$E$7),"131",""))</f>
        <v/>
      </c>
      <c r="O200" s="49" t="str">
        <f>IF(AND($B200&gt;='111'!$N$11,$B200&lt;='111'!$O$11,OR($L200=$O$7,$M200=$O$7)),"x","")</f>
        <v/>
      </c>
      <c r="P200" s="49" t="str">
        <f>IF(AND($L200=$O$7,$B200&lt;'111'!$N$11),"x","")</f>
        <v/>
      </c>
      <c r="Q200" s="49" t="str">
        <f>IF(AND($M200=$O$7,$B200&lt;'111'!$N$11),"x","")</f>
        <v/>
      </c>
      <c r="R200" s="49" t="str">
        <f>IF(ISERROR(FIND('112'!$M$9,G200,1)),"",IF((AND(FIND('112'!$M$9,G200,1)&gt;=1,$B200&gt;='112'!$N$8,$B200&lt;='112'!$O$8,OR($L200='112'!$I$6,$M200='112'!$I$6))),"x",""))</f>
        <v/>
      </c>
      <c r="S200" s="49" t="str">
        <f>IF(ISERROR(FIND('112'!$M$9,G200,1)),"",IF((AND(LEFT(G200,2)=LEFT('112'!$M$9,2),B200&lt;'112'!$N$8,$L200='112'!$I$6)),"x",""))</f>
        <v/>
      </c>
      <c r="T200" s="49" t="str">
        <f>IF(ISERROR(FIND('112'!$M$9,G200,1)),"",IF((AND(RIGHT(G200,2)=RIGHT('112'!$M$9,2),B200&lt;'112'!$N$8,$M200='112'!$I$6)),"x",""))</f>
        <v/>
      </c>
      <c r="U200" s="49" t="str">
        <f>IF(AND(L200="154",'154'!$O$5&lt;=B200,'154'!$P$5&gt;=B200),"154",IF(AND(L200="632",'632'!$L$5&lt;=B200,'632'!$M$5&gt;=B200),"632",IF(AND(L200="642",'642'!$N$5&lt;=B200,'642'!$O$5&gt;=B200),"642",IF(AND(L200="641",'641'!$N$5&lt;=B200,'641'!$O$5&gt;=B200),"641",""))))</f>
        <v/>
      </c>
      <c r="V200" s="49" t="str">
        <f>IF(OR(TH!L200=TH!$V$7,M200=TH!$V$7),"x","")</f>
        <v/>
      </c>
      <c r="W200" s="49" t="str">
        <f>IF(AND(B200&gt;='IN-NX'!$P$3,B200&lt;='IN-NX'!$Q$3,'IN-NX'!$D$7=D200,OR(LEFT(L200,2)="15",AND(LEFT(M200,2)&lt;&gt;"15",LEFT(M200,2)&lt;&gt;"33"))),"x","")</f>
        <v/>
      </c>
      <c r="X200" s="49" t="str">
        <f>IF(AND(OR(LEFT(TH!L200,2)="15",LEFT(TH!M200,2)="15"),'152-CT'!$J$8=TH!F200),"x","")</f>
        <v/>
      </c>
      <c r="Y200" s="49" t="str">
        <f>IF(AND(OR(LEFT(TH!L200,2)="15",LEFT(TH!M200,2)="15"),TK!$E$7=TH!F200),"x","")</f>
        <v/>
      </c>
      <c r="Z200" s="49" t="str">
        <f>IF(AND(B200&lt;=NKC!$N$8,B200&gt;=NKC!$M$8),"x","")</f>
        <v/>
      </c>
      <c r="AA200" s="723"/>
      <c r="AC200" s="199"/>
      <c r="AD200" s="199"/>
    </row>
    <row r="201" spans="1:30" s="497" customFormat="1" ht="15.75" hidden="1" customHeight="1">
      <c r="A201" s="724" t="str">
        <f>IF(B201&lt;&gt;"",IF(AND(B201&gt;=_TM1,B201&lt;=_TM2,OR(TH!L201="1111",TH!M201="1111")),TH!D201,""),"")</f>
        <v/>
      </c>
      <c r="B201" s="36">
        <f t="shared" si="11"/>
        <v>12</v>
      </c>
      <c r="C201" s="185">
        <f t="shared" si="12"/>
        <v>41250</v>
      </c>
      <c r="D201" s="178" t="s">
        <v>609</v>
      </c>
      <c r="E201" s="185">
        <v>41250</v>
      </c>
      <c r="F201" s="186" t="s">
        <v>538</v>
      </c>
      <c r="G201" s="732" t="s">
        <v>577</v>
      </c>
      <c r="H201" s="187" t="s">
        <v>482</v>
      </c>
      <c r="I201" s="247"/>
      <c r="J201" s="247"/>
      <c r="K201" s="505">
        <v>881600</v>
      </c>
      <c r="L201" s="506" t="s">
        <v>252</v>
      </c>
      <c r="M201" s="506" t="s">
        <v>297</v>
      </c>
      <c r="N201" s="49" t="str">
        <f>IF(AND('331-CT'!$E$7=TH!H201,OR(L201="331",M201="331")),"331",IF(AND(OR(L201="131",M201="131"),H201='131-CT'!$E$7),"131",""))</f>
        <v/>
      </c>
      <c r="O201" s="49" t="str">
        <f>IF(AND($B201&gt;='111'!$N$11,$B201&lt;='111'!$O$11,OR($L201=$O$7,$M201=$O$7)),"x","")</f>
        <v/>
      </c>
      <c r="P201" s="49" t="str">
        <f>IF(AND($L201=$O$7,$B201&lt;'111'!$N$11),"x","")</f>
        <v/>
      </c>
      <c r="Q201" s="49" t="str">
        <f>IF(AND($M201=$O$7,$B201&lt;'111'!$N$11),"x","")</f>
        <v/>
      </c>
      <c r="R201" s="49" t="str">
        <f>IF(ISERROR(FIND('112'!$M$9,G201,1)),"",IF((AND(FIND('112'!$M$9,G201,1)&gt;=1,$B201&gt;='112'!$N$8,$B201&lt;='112'!$O$8,OR($L201='112'!$I$6,$M201='112'!$I$6))),"x",""))</f>
        <v/>
      </c>
      <c r="S201" s="49" t="str">
        <f>IF(ISERROR(FIND('112'!$M$9,G201,1)),"",IF((AND(LEFT(G201,2)=LEFT('112'!$M$9,2),B201&lt;'112'!$N$8,$L201='112'!$I$6)),"x",""))</f>
        <v/>
      </c>
      <c r="T201" s="49" t="str">
        <f>IF(ISERROR(FIND('112'!$M$9,G201,1)),"",IF((AND(RIGHT(G201,2)=RIGHT('112'!$M$9,2),B201&lt;'112'!$N$8,$M201='112'!$I$6)),"x",""))</f>
        <v/>
      </c>
      <c r="U201" s="49" t="str">
        <f>IF(AND(L201="154",'154'!$O$5&lt;=B201,'154'!$P$5&gt;=B201),"154",IF(AND(L201="632",'632'!$L$5&lt;=B201,'632'!$M$5&gt;=B201),"632",IF(AND(L201="642",'642'!$N$5&lt;=B201,'642'!$O$5&gt;=B201),"642",IF(AND(L201="641",'641'!$N$5&lt;=B201,'641'!$O$5&gt;=B201),"641",""))))</f>
        <v/>
      </c>
      <c r="V201" s="49" t="str">
        <f>IF(OR(TH!L201=TH!$V$7,M201=TH!$V$7),"x","")</f>
        <v/>
      </c>
      <c r="W201" s="49" t="str">
        <f>IF(AND(B201&gt;='IN-NX'!$P$3,B201&lt;='IN-NX'!$Q$3,'IN-NX'!$D$7=D201,OR(LEFT(L201,2)="15",AND(LEFT(M201,2)&lt;&gt;"15",LEFT(M201,2)&lt;&gt;"33"))),"x","")</f>
        <v/>
      </c>
      <c r="X201" s="49" t="str">
        <f>IF(AND(OR(LEFT(TH!L201,2)="15",LEFT(TH!M201,2)="15"),'152-CT'!$J$8=TH!F201),"x","")</f>
        <v/>
      </c>
      <c r="Y201" s="49" t="str">
        <f>IF(AND(OR(LEFT(TH!L201,2)="15",LEFT(TH!M201,2)="15"),TK!$E$7=TH!F201),"x","")</f>
        <v/>
      </c>
      <c r="Z201" s="49" t="str">
        <f>IF(AND(B201&lt;=NKC!$N$8,B201&gt;=NKC!$M$8),"x","")</f>
        <v/>
      </c>
      <c r="AA201" s="723"/>
      <c r="AC201" s="199"/>
      <c r="AD201" s="199"/>
    </row>
    <row r="202" spans="1:30" s="497" customFormat="1" ht="15.75" hidden="1" customHeight="1">
      <c r="A202" s="724" t="str">
        <f>IF(B202&lt;&gt;"",IF(AND(B202&gt;=_TM1,B202&lt;=_TM2,OR(TH!L202="1111",TH!M202="1111")),TH!D202,""),"")</f>
        <v/>
      </c>
      <c r="B202" s="36">
        <f t="shared" si="11"/>
        <v>12</v>
      </c>
      <c r="C202" s="185">
        <f t="shared" si="12"/>
        <v>41251</v>
      </c>
      <c r="D202" s="178" t="s">
        <v>522</v>
      </c>
      <c r="E202" s="178">
        <v>41251</v>
      </c>
      <c r="F202" s="183" t="s">
        <v>422</v>
      </c>
      <c r="G202" s="732" t="s">
        <v>468</v>
      </c>
      <c r="H202" s="7" t="s">
        <v>390</v>
      </c>
      <c r="I202" s="247">
        <v>500</v>
      </c>
      <c r="J202" s="247">
        <v>10286</v>
      </c>
      <c r="K202" s="37">
        <f>ROUND(I202*J202,0)</f>
        <v>5143000</v>
      </c>
      <c r="L202" s="188" t="s">
        <v>375</v>
      </c>
      <c r="M202" s="188" t="s">
        <v>8</v>
      </c>
      <c r="N202" s="49" t="str">
        <f>IF(AND('331-CT'!$E$7=TH!H202,OR(L202="331",M202="331")),"331",IF(AND(OR(L202="131",M202="131"),H202='131-CT'!$E$7),"131",""))</f>
        <v>331</v>
      </c>
      <c r="O202" s="49" t="str">
        <f>IF(AND($B202&gt;='111'!$N$11,$B202&lt;='111'!$O$11,OR($L202=$O$7,$M202=$O$7)),"x","")</f>
        <v/>
      </c>
      <c r="P202" s="49" t="str">
        <f>IF(AND($L202=$O$7,$B202&lt;'111'!$N$11),"x","")</f>
        <v/>
      </c>
      <c r="Q202" s="49" t="str">
        <f>IF(AND($M202=$O$7,$B202&lt;'111'!$N$11),"x","")</f>
        <v/>
      </c>
      <c r="R202" s="49" t="str">
        <f>IF(ISERROR(FIND('112'!$M$9,G202,1)),"",IF((AND(FIND('112'!$M$9,G202,1)&gt;=1,$B202&gt;='112'!$N$8,$B202&lt;='112'!$O$8,OR($L202='112'!$I$6,$M202='112'!$I$6))),"x",""))</f>
        <v/>
      </c>
      <c r="S202" s="49" t="str">
        <f>IF(ISERROR(FIND('112'!$M$9,G202,1)),"",IF((AND(LEFT(G202,2)=LEFT('112'!$M$9,2),B202&lt;'112'!$N$8,$L202='112'!$I$6)),"x",""))</f>
        <v/>
      </c>
      <c r="T202" s="49" t="str">
        <f>IF(ISERROR(FIND('112'!$M$9,G202,1)),"",IF((AND(RIGHT(G202,2)=RIGHT('112'!$M$9,2),B202&lt;'112'!$N$8,$M202='112'!$I$6)),"x",""))</f>
        <v/>
      </c>
      <c r="U202" s="49" t="str">
        <f>IF(AND(L202="154",'154'!$O$5&lt;=B202,'154'!$P$5&gt;=B202),"154",IF(AND(L202="632",'632'!$L$5&lt;=B202,'632'!$M$5&gt;=B202),"632",IF(AND(L202="642",'642'!$N$5&lt;=B202,'642'!$O$5&gt;=B202),"642",IF(AND(L202="641",'641'!$N$5&lt;=B202,'641'!$O$5&gt;=B202),"641",""))))</f>
        <v/>
      </c>
      <c r="V202" s="49" t="str">
        <f>IF(OR(TH!L202=TH!$V$7,M202=TH!$V$7),"x","")</f>
        <v/>
      </c>
      <c r="W202" s="49" t="str">
        <f>IF(AND(B202&gt;='IN-NX'!$P$3,B202&lt;='IN-NX'!$Q$3,'IN-NX'!$D$7=D202,OR(LEFT(L202,2)="15",AND(LEFT(M202,2)&lt;&gt;"15",LEFT(M202,2)&lt;&gt;"33"))),"x","")</f>
        <v/>
      </c>
      <c r="X202" s="49" t="str">
        <f>IF(AND(OR(LEFT(TH!L202,2)="15",LEFT(TH!M202,2)="15"),'152-CT'!$J$8=TH!F202),"x","")</f>
        <v/>
      </c>
      <c r="Y202" s="49" t="str">
        <f>IF(AND(OR(LEFT(TH!L202,2)="15",LEFT(TH!M202,2)="15"),TK!$E$7=TH!F202),"x","")</f>
        <v/>
      </c>
      <c r="Z202" s="49" t="str">
        <f>IF(AND(B202&lt;=NKC!$N$8,B202&gt;=NKC!$M$8),"x","")</f>
        <v/>
      </c>
      <c r="AA202" s="723"/>
    </row>
    <row r="203" spans="1:30" s="497" customFormat="1" ht="15.75" hidden="1" customHeight="1">
      <c r="A203" s="724" t="str">
        <f>IF(B203&lt;&gt;"",IF(AND(B203&gt;=_TM1,B203&lt;=_TM2,OR(TH!L203="1111",TH!M203="1111")),TH!D203,""),"")</f>
        <v/>
      </c>
      <c r="B203" s="36">
        <f t="shared" si="11"/>
        <v>12</v>
      </c>
      <c r="C203" s="185">
        <f t="shared" si="12"/>
        <v>41251</v>
      </c>
      <c r="D203" s="178" t="s">
        <v>522</v>
      </c>
      <c r="E203" s="178">
        <v>41251</v>
      </c>
      <c r="F203" s="183" t="s">
        <v>399</v>
      </c>
      <c r="G203" s="732" t="s">
        <v>468</v>
      </c>
      <c r="H203" s="7" t="s">
        <v>390</v>
      </c>
      <c r="I203" s="247">
        <v>500</v>
      </c>
      <c r="J203" s="247">
        <v>10298</v>
      </c>
      <c r="K203" s="37">
        <f>ROUND(I203*J203,0)</f>
        <v>5149000</v>
      </c>
      <c r="L203" s="188" t="s">
        <v>375</v>
      </c>
      <c r="M203" s="188" t="s">
        <v>8</v>
      </c>
      <c r="N203" s="49" t="str">
        <f>IF(AND('331-CT'!$E$7=TH!H203,OR(L203="331",M203="331")),"331",IF(AND(OR(L203="131",M203="131"),H203='131-CT'!$E$7),"131",""))</f>
        <v>331</v>
      </c>
      <c r="O203" s="49" t="str">
        <f>IF(AND($B203&gt;='111'!$N$11,$B203&lt;='111'!$O$11,OR($L203=$O$7,$M203=$O$7)),"x","")</f>
        <v/>
      </c>
      <c r="P203" s="49" t="str">
        <f>IF(AND($L203=$O$7,$B203&lt;'111'!$N$11),"x","")</f>
        <v/>
      </c>
      <c r="Q203" s="49" t="str">
        <f>IF(AND($M203=$O$7,$B203&lt;'111'!$N$11),"x","")</f>
        <v/>
      </c>
      <c r="R203" s="49" t="str">
        <f>IF(ISERROR(FIND('112'!$M$9,G203,1)),"",IF((AND(FIND('112'!$M$9,G203,1)&gt;=1,$B203&gt;='112'!$N$8,$B203&lt;='112'!$O$8,OR($L203='112'!$I$6,$M203='112'!$I$6))),"x",""))</f>
        <v/>
      </c>
      <c r="S203" s="49" t="str">
        <f>IF(ISERROR(FIND('112'!$M$9,G203,1)),"",IF((AND(LEFT(G203,2)=LEFT('112'!$M$9,2),B203&lt;'112'!$N$8,$L203='112'!$I$6)),"x",""))</f>
        <v/>
      </c>
      <c r="T203" s="49" t="str">
        <f>IF(ISERROR(FIND('112'!$M$9,G203,1)),"",IF((AND(RIGHT(G203,2)=RIGHT('112'!$M$9,2),B203&lt;'112'!$N$8,$M203='112'!$I$6)),"x",""))</f>
        <v/>
      </c>
      <c r="U203" s="49" t="str">
        <f>IF(AND(L203="154",'154'!$O$5&lt;=B203,'154'!$P$5&gt;=B203),"154",IF(AND(L203="632",'632'!$L$5&lt;=B203,'632'!$M$5&gt;=B203),"632",IF(AND(L203="642",'642'!$N$5&lt;=B203,'642'!$O$5&gt;=B203),"642",IF(AND(L203="641",'641'!$N$5&lt;=B203,'641'!$O$5&gt;=B203),"641",""))))</f>
        <v/>
      </c>
      <c r="V203" s="49" t="str">
        <f>IF(OR(TH!L203=TH!$V$7,M203=TH!$V$7),"x","")</f>
        <v/>
      </c>
      <c r="W203" s="49" t="str">
        <f>IF(AND(B203&gt;='IN-NX'!$P$3,B203&lt;='IN-NX'!$Q$3,'IN-NX'!$D$7=D203,OR(LEFT(L203,2)="15",AND(LEFT(M203,2)&lt;&gt;"15",LEFT(M203,2)&lt;&gt;"33"))),"x","")</f>
        <v/>
      </c>
      <c r="X203" s="49" t="str">
        <f>IF(AND(OR(LEFT(TH!L203,2)="15",LEFT(TH!M203,2)="15"),'152-CT'!$J$8=TH!F203),"x","")</f>
        <v/>
      </c>
      <c r="Y203" s="49" t="str">
        <f>IF(AND(OR(LEFT(TH!L203,2)="15",LEFT(TH!M203,2)="15"),TK!$E$7=TH!F203),"x","")</f>
        <v/>
      </c>
      <c r="Z203" s="49" t="str">
        <f>IF(AND(B203&lt;=NKC!$N$8,B203&gt;=NKC!$M$8),"x","")</f>
        <v/>
      </c>
      <c r="AA203" s="723"/>
    </row>
    <row r="204" spans="1:30" s="497" customFormat="1" ht="15.75" customHeight="1">
      <c r="A204" s="724" t="str">
        <f>IF(B204&lt;&gt;"",IF(AND(B204&gt;=_TM1,B204&lt;=_TM2,OR(TH!L204="1111",TH!M204="1111")),TH!D204,""),"")</f>
        <v/>
      </c>
      <c r="B204" s="36">
        <f t="shared" si="11"/>
        <v>12</v>
      </c>
      <c r="C204" s="185">
        <f t="shared" si="12"/>
        <v>41251</v>
      </c>
      <c r="D204" s="178" t="s">
        <v>522</v>
      </c>
      <c r="E204" s="178">
        <v>41251</v>
      </c>
      <c r="F204" s="183" t="s">
        <v>392</v>
      </c>
      <c r="G204" s="732" t="s">
        <v>468</v>
      </c>
      <c r="H204" s="7" t="s">
        <v>390</v>
      </c>
      <c r="I204" s="247"/>
      <c r="J204" s="247"/>
      <c r="K204" s="37">
        <v>1029200</v>
      </c>
      <c r="L204" s="188" t="s">
        <v>9</v>
      </c>
      <c r="M204" s="188" t="s">
        <v>8</v>
      </c>
      <c r="N204" s="49" t="str">
        <f>IF(AND('331-CT'!$E$7=TH!H204,OR(L204="331",M204="331")),"331",IF(AND(OR(L204="131",M204="131"),H204='131-CT'!$E$7),"131",""))</f>
        <v>331</v>
      </c>
      <c r="O204" s="49" t="str">
        <f>IF(AND($B204&gt;='111'!$N$11,$B204&lt;='111'!$O$11,OR($L204=$O$7,$M204=$O$7)),"x","")</f>
        <v/>
      </c>
      <c r="P204" s="49" t="str">
        <f>IF(AND($L204=$O$7,$B204&lt;'111'!$N$11),"x","")</f>
        <v/>
      </c>
      <c r="Q204" s="49" t="str">
        <f>IF(AND($M204=$O$7,$B204&lt;'111'!$N$11),"x","")</f>
        <v/>
      </c>
      <c r="R204" s="49" t="str">
        <f>IF(ISERROR(FIND('112'!$M$9,G204,1)),"",IF((AND(FIND('112'!$M$9,G204,1)&gt;=1,$B204&gt;='112'!$N$8,$B204&lt;='112'!$O$8,OR($L204='112'!$I$6,$M204='112'!$I$6))),"x",""))</f>
        <v/>
      </c>
      <c r="S204" s="49" t="str">
        <f>IF(ISERROR(FIND('112'!$M$9,G204,1)),"",IF((AND(LEFT(G204,2)=LEFT('112'!$M$9,2),B204&lt;'112'!$N$8,$L204='112'!$I$6)),"x",""))</f>
        <v/>
      </c>
      <c r="T204" s="49" t="str">
        <f>IF(ISERROR(FIND('112'!$M$9,G204,1)),"",IF((AND(RIGHT(G204,2)=RIGHT('112'!$M$9,2),B204&lt;'112'!$N$8,$M204='112'!$I$6)),"x",""))</f>
        <v/>
      </c>
      <c r="U204" s="49" t="str">
        <f>IF(AND(L204="154",'154'!$O$5&lt;=B204,'154'!$P$5&gt;=B204),"154",IF(AND(L204="632",'632'!$L$5&lt;=B204,'632'!$M$5&gt;=B204),"632",IF(AND(L204="642",'642'!$N$5&lt;=B204,'642'!$O$5&gt;=B204),"642",IF(AND(L204="641",'641'!$N$5&lt;=B204,'641'!$O$5&gt;=B204),"641",""))))</f>
        <v/>
      </c>
      <c r="V204" s="49" t="str">
        <f>IF(OR(TH!L204=TH!$V$7,M204=TH!$V$7),"x","")</f>
        <v>x</v>
      </c>
      <c r="W204" s="49" t="str">
        <f>IF(AND(B204&gt;='IN-NX'!$P$3,B204&lt;='IN-NX'!$Q$3,'IN-NX'!$D$7=D204,OR(LEFT(L204,2)="15",AND(LEFT(M204,2)&lt;&gt;"15",LEFT(M204,2)&lt;&gt;"33"))),"x","")</f>
        <v/>
      </c>
      <c r="X204" s="49" t="str">
        <f>IF(AND(OR(LEFT(TH!L204,2)="15",LEFT(TH!M204,2)="15"),'152-CT'!$J$8=TH!F204),"x","")</f>
        <v/>
      </c>
      <c r="Y204" s="49" t="str">
        <f>IF(AND(OR(LEFT(TH!L204,2)="15",LEFT(TH!M204,2)="15"),TK!$E$7=TH!F204),"x","")</f>
        <v/>
      </c>
      <c r="Z204" s="49" t="str">
        <f>IF(AND(B204&lt;=NKC!$N$8,B204&gt;=NKC!$M$8),"x","")</f>
        <v/>
      </c>
      <c r="AA204" s="723">
        <v>12</v>
      </c>
      <c r="AB204" s="199"/>
      <c r="AC204" s="199"/>
    </row>
    <row r="205" spans="1:30" s="497" customFormat="1" ht="15.75" hidden="1" customHeight="1">
      <c r="A205" s="724" t="str">
        <f>IF(B205&lt;&gt;"",IF(AND(B205&gt;=_TM1,B205&lt;=_TM2,OR(TH!L205="1111",TH!M205="1111")),TH!D205,""),"")</f>
        <v>C24</v>
      </c>
      <c r="B205" s="36">
        <f t="shared" si="11"/>
        <v>12</v>
      </c>
      <c r="C205" s="185">
        <f t="shared" si="12"/>
        <v>41251</v>
      </c>
      <c r="D205" s="185" t="s">
        <v>295</v>
      </c>
      <c r="E205" s="178">
        <v>41251</v>
      </c>
      <c r="F205" s="183" t="s">
        <v>486</v>
      </c>
      <c r="G205" s="732" t="s">
        <v>468</v>
      </c>
      <c r="H205" s="7" t="s">
        <v>390</v>
      </c>
      <c r="I205" s="247"/>
      <c r="J205" s="247"/>
      <c r="K205" s="37">
        <v>11321200</v>
      </c>
      <c r="L205" s="188" t="s">
        <v>8</v>
      </c>
      <c r="M205" s="188" t="s">
        <v>47</v>
      </c>
      <c r="N205" s="49" t="str">
        <f>IF(AND('331-CT'!$E$7=TH!H205,OR(L205="331",M205="331")),"331",IF(AND(OR(L205="131",M205="131"),H205='131-CT'!$E$7),"131",""))</f>
        <v>331</v>
      </c>
      <c r="O205" s="49" t="str">
        <f>IF(AND($B205&gt;='111'!$N$11,$B205&lt;='111'!$O$11,OR($L205=$O$7,$M205=$O$7)),"x","")</f>
        <v>x</v>
      </c>
      <c r="P205" s="49" t="str">
        <f>IF(AND($L205=$O$7,$B205&lt;'111'!$N$11),"x","")</f>
        <v/>
      </c>
      <c r="Q205" s="49" t="str">
        <f>IF(AND($M205=$O$7,$B205&lt;'111'!$N$11),"x","")</f>
        <v/>
      </c>
      <c r="R205" s="49" t="str">
        <f>IF(ISERROR(FIND('112'!$M$9,G205,1)),"",IF((AND(FIND('112'!$M$9,G205,1)&gt;=1,$B205&gt;='112'!$N$8,$B205&lt;='112'!$O$8,OR($L205='112'!$I$6,$M205='112'!$I$6))),"x",""))</f>
        <v/>
      </c>
      <c r="S205" s="49" t="str">
        <f>IF(ISERROR(FIND('112'!$M$9,G205,1)),"",IF((AND(LEFT(G205,2)=LEFT('112'!$M$9,2),B205&lt;'112'!$N$8,$L205='112'!$I$6)),"x",""))</f>
        <v/>
      </c>
      <c r="T205" s="49" t="str">
        <f>IF(ISERROR(FIND('112'!$M$9,G205,1)),"",IF((AND(RIGHT(G205,2)=RIGHT('112'!$M$9,2),B205&lt;'112'!$N$8,$M205='112'!$I$6)),"x",""))</f>
        <v/>
      </c>
      <c r="U205" s="49" t="str">
        <f>IF(AND(L205="154",'154'!$O$5&lt;=B205,'154'!$P$5&gt;=B205),"154",IF(AND(L205="632",'632'!$L$5&lt;=B205,'632'!$M$5&gt;=B205),"632",IF(AND(L205="642",'642'!$N$5&lt;=B205,'642'!$O$5&gt;=B205),"642",IF(AND(L205="641",'641'!$N$5&lt;=B205,'641'!$O$5&gt;=B205),"641",""))))</f>
        <v/>
      </c>
      <c r="V205" s="49" t="str">
        <f>IF(OR(TH!L205=TH!$V$7,M205=TH!$V$7),"x","")</f>
        <v/>
      </c>
      <c r="W205" s="49" t="str">
        <f>IF(AND(B205&gt;='IN-NX'!$P$3,B205&lt;='IN-NX'!$Q$3,'IN-NX'!$D$7=D205,OR(LEFT(L205,2)="15",AND(LEFT(M205,2)&lt;&gt;"15",LEFT(M205,2)&lt;&gt;"33"))),"x","")</f>
        <v/>
      </c>
      <c r="X205" s="49" t="str">
        <f>IF(AND(OR(LEFT(TH!L205,2)="15",LEFT(TH!M205,2)="15"),'152-CT'!$J$8=TH!F205),"x","")</f>
        <v/>
      </c>
      <c r="Y205" s="49" t="str">
        <f>IF(AND(OR(LEFT(TH!L205,2)="15",LEFT(TH!M205,2)="15"),TK!$E$7=TH!F205),"x","")</f>
        <v/>
      </c>
      <c r="Z205" s="49" t="str">
        <f>IF(AND(B205&lt;=NKC!$N$8,B205&gt;=NKC!$M$8),"x","")</f>
        <v/>
      </c>
      <c r="AA205" s="723"/>
      <c r="AC205" s="199"/>
      <c r="AD205" s="199"/>
    </row>
    <row r="206" spans="1:30" s="497" customFormat="1" ht="15.75" hidden="1" customHeight="1">
      <c r="A206" s="724" t="str">
        <f>IF(B206&lt;&gt;"",IF(AND(B206&gt;=_TM1,B206&lt;=_TM2,OR(TH!L206="1111",TH!M206="1111")),TH!D206,""),"")</f>
        <v/>
      </c>
      <c r="B206" s="36">
        <f t="shared" si="11"/>
        <v>12</v>
      </c>
      <c r="C206" s="185">
        <f t="shared" si="12"/>
        <v>41253</v>
      </c>
      <c r="D206" s="178" t="s">
        <v>610</v>
      </c>
      <c r="E206" s="185">
        <v>41253</v>
      </c>
      <c r="F206" s="186" t="s">
        <v>547</v>
      </c>
      <c r="G206" s="732" t="s">
        <v>578</v>
      </c>
      <c r="H206" s="187" t="s">
        <v>481</v>
      </c>
      <c r="I206" s="247">
        <v>1235</v>
      </c>
      <c r="J206" s="247">
        <v>6200</v>
      </c>
      <c r="K206" s="505">
        <f>ROUND(I206*J206,0)</f>
        <v>7657000</v>
      </c>
      <c r="L206" s="506" t="s">
        <v>252</v>
      </c>
      <c r="M206" s="506" t="s">
        <v>164</v>
      </c>
      <c r="N206" s="49" t="str">
        <f>IF(AND('331-CT'!$E$7=TH!H206,OR(L206="331",M206="331")),"331",IF(AND(OR(L206="131",M206="131"),H206='131-CT'!$E$7),"131",""))</f>
        <v/>
      </c>
      <c r="O206" s="49" t="str">
        <f>IF(AND($B206&gt;='111'!$N$11,$B206&lt;='111'!$O$11,OR($L206=$O$7,$M206=$O$7)),"x","")</f>
        <v/>
      </c>
      <c r="P206" s="49" t="str">
        <f>IF(AND($L206=$O$7,$B206&lt;'111'!$N$11),"x","")</f>
        <v/>
      </c>
      <c r="Q206" s="49" t="str">
        <f>IF(AND($M206=$O$7,$B206&lt;'111'!$N$11),"x","")</f>
        <v/>
      </c>
      <c r="R206" s="49" t="str">
        <f>IF(ISERROR(FIND('112'!$M$9,G206,1)),"",IF((AND(FIND('112'!$M$9,G206,1)&gt;=1,$B206&gt;='112'!$N$8,$B206&lt;='112'!$O$8,OR($L206='112'!$I$6,$M206='112'!$I$6))),"x",""))</f>
        <v/>
      </c>
      <c r="S206" s="49" t="str">
        <f>IF(ISERROR(FIND('112'!$M$9,G206,1)),"",IF((AND(LEFT(G206,2)=LEFT('112'!$M$9,2),B206&lt;'112'!$N$8,$L206='112'!$I$6)),"x",""))</f>
        <v/>
      </c>
      <c r="T206" s="49" t="str">
        <f>IF(ISERROR(FIND('112'!$M$9,G206,1)),"",IF((AND(RIGHT(G206,2)=RIGHT('112'!$M$9,2),B206&lt;'112'!$N$8,$M206='112'!$I$6)),"x",""))</f>
        <v/>
      </c>
      <c r="U206" s="49" t="str">
        <f>IF(AND(L206="154",'154'!$O$5&lt;=B206,'154'!$P$5&gt;=B206),"154",IF(AND(L206="632",'632'!$L$5&lt;=B206,'632'!$M$5&gt;=B206),"632",IF(AND(L206="642",'642'!$N$5&lt;=B206,'642'!$O$5&gt;=B206),"642",IF(AND(L206="641",'641'!$N$5&lt;=B206,'641'!$O$5&gt;=B206),"641",""))))</f>
        <v/>
      </c>
      <c r="V206" s="49" t="str">
        <f>IF(OR(TH!L206=TH!$V$7,M206=TH!$V$7),"x","")</f>
        <v/>
      </c>
      <c r="W206" s="49" t="str">
        <f>IF(AND(B206&gt;='IN-NX'!$P$3,B206&lt;='IN-NX'!$Q$3,'IN-NX'!$D$7=D206,OR(LEFT(L206,2)="15",AND(LEFT(M206,2)&lt;&gt;"15",LEFT(M206,2)&lt;&gt;"33"))),"x","")</f>
        <v/>
      </c>
      <c r="X206" s="49" t="str">
        <f>IF(AND(OR(LEFT(TH!L206,2)="15",LEFT(TH!M206,2)="15"),'152-CT'!$J$8=TH!F206),"x","")</f>
        <v/>
      </c>
      <c r="Y206" s="49" t="str">
        <f>IF(AND(OR(LEFT(TH!L206,2)="15",LEFT(TH!M206,2)="15"),TK!$E$7=TH!F206),"x","")</f>
        <v/>
      </c>
      <c r="Z206" s="49" t="str">
        <f>IF(AND(B206&lt;=NKC!$N$8,B206&gt;=NKC!$M$8),"x","")</f>
        <v/>
      </c>
      <c r="AA206" s="723"/>
      <c r="AC206" s="199"/>
      <c r="AD206" s="199"/>
    </row>
    <row r="207" spans="1:30" s="497" customFormat="1" ht="15.75" hidden="1" customHeight="1">
      <c r="A207" s="724" t="str">
        <f>IF(B207&lt;&gt;"",IF(AND(B207&gt;=_TM1,B207&lt;=_TM2,OR(TH!L207="1111",TH!M207="1111")),TH!D207,""),"")</f>
        <v/>
      </c>
      <c r="B207" s="36">
        <f t="shared" si="11"/>
        <v>12</v>
      </c>
      <c r="C207" s="185">
        <f t="shared" si="12"/>
        <v>41253</v>
      </c>
      <c r="D207" s="178" t="s">
        <v>610</v>
      </c>
      <c r="E207" s="185">
        <v>41253</v>
      </c>
      <c r="F207" s="186" t="s">
        <v>541</v>
      </c>
      <c r="G207" s="732" t="s">
        <v>578</v>
      </c>
      <c r="H207" s="187" t="s">
        <v>481</v>
      </c>
      <c r="I207" s="247">
        <v>1010</v>
      </c>
      <c r="J207" s="247">
        <v>6340</v>
      </c>
      <c r="K207" s="505">
        <f>ROUND(I207*J207,0)</f>
        <v>6403400</v>
      </c>
      <c r="L207" s="506" t="s">
        <v>252</v>
      </c>
      <c r="M207" s="506" t="s">
        <v>164</v>
      </c>
      <c r="N207" s="49" t="str">
        <f>IF(AND('331-CT'!$E$7=TH!H207,OR(L207="331",M207="331")),"331",IF(AND(OR(L207="131",M207="131"),H207='131-CT'!$E$7),"131",""))</f>
        <v/>
      </c>
      <c r="O207" s="49" t="str">
        <f>IF(AND($B207&gt;='111'!$N$11,$B207&lt;='111'!$O$11,OR($L207=$O$7,$M207=$O$7)),"x","")</f>
        <v/>
      </c>
      <c r="P207" s="49" t="str">
        <f>IF(AND($L207=$O$7,$B207&lt;'111'!$N$11),"x","")</f>
        <v/>
      </c>
      <c r="Q207" s="49" t="str">
        <f>IF(AND($M207=$O$7,$B207&lt;'111'!$N$11),"x","")</f>
        <v/>
      </c>
      <c r="R207" s="49" t="str">
        <f>IF(ISERROR(FIND('112'!$M$9,G207,1)),"",IF((AND(FIND('112'!$M$9,G207,1)&gt;=1,$B207&gt;='112'!$N$8,$B207&lt;='112'!$O$8,OR($L207='112'!$I$6,$M207='112'!$I$6))),"x",""))</f>
        <v/>
      </c>
      <c r="S207" s="49" t="str">
        <f>IF(ISERROR(FIND('112'!$M$9,G207,1)),"",IF((AND(LEFT(G207,2)=LEFT('112'!$M$9,2),B207&lt;'112'!$N$8,$L207='112'!$I$6)),"x",""))</f>
        <v/>
      </c>
      <c r="T207" s="49" t="str">
        <f>IF(ISERROR(FIND('112'!$M$9,G207,1)),"",IF((AND(RIGHT(G207,2)=RIGHT('112'!$M$9,2),B207&lt;'112'!$N$8,$M207='112'!$I$6)),"x",""))</f>
        <v/>
      </c>
      <c r="U207" s="49" t="str">
        <f>IF(AND(L207="154",'154'!$O$5&lt;=B207,'154'!$P$5&gt;=B207),"154",IF(AND(L207="632",'632'!$L$5&lt;=B207,'632'!$M$5&gt;=B207),"632",IF(AND(L207="642",'642'!$N$5&lt;=B207,'642'!$O$5&gt;=B207),"642",IF(AND(L207="641",'641'!$N$5&lt;=B207,'641'!$O$5&gt;=B207),"641",""))))</f>
        <v/>
      </c>
      <c r="V207" s="49" t="str">
        <f>IF(OR(TH!L207=TH!$V$7,M207=TH!$V$7),"x","")</f>
        <v/>
      </c>
      <c r="W207" s="49" t="str">
        <f>IF(AND(B207&gt;='IN-NX'!$P$3,B207&lt;='IN-NX'!$Q$3,'IN-NX'!$D$7=D207,OR(LEFT(L207,2)="15",AND(LEFT(M207,2)&lt;&gt;"15",LEFT(M207,2)&lt;&gt;"33"))),"x","")</f>
        <v/>
      </c>
      <c r="X207" s="49" t="str">
        <f>IF(AND(OR(LEFT(TH!L207,2)="15",LEFT(TH!M207,2)="15"),'152-CT'!$J$8=TH!F207),"x","")</f>
        <v/>
      </c>
      <c r="Y207" s="49" t="str">
        <f>IF(AND(OR(LEFT(TH!L207,2)="15",LEFT(TH!M207,2)="15"),TK!$E$7=TH!F207),"x","")</f>
        <v/>
      </c>
      <c r="Z207" s="49" t="str">
        <f>IF(AND(B207&lt;=NKC!$N$8,B207&gt;=NKC!$M$8),"x","")</f>
        <v/>
      </c>
      <c r="AA207" s="723"/>
      <c r="AC207" s="199"/>
      <c r="AD207" s="199"/>
    </row>
    <row r="208" spans="1:30" s="497" customFormat="1" ht="15.75" hidden="1" customHeight="1">
      <c r="A208" s="724" t="str">
        <f>IF(B208&lt;&gt;"",IF(AND(B208&gt;=_TM1,B208&lt;=_TM2,OR(TH!L208="1111",TH!M208="1111")),TH!D208,""),"")</f>
        <v/>
      </c>
      <c r="B208" s="36">
        <f t="shared" si="11"/>
        <v>12</v>
      </c>
      <c r="C208" s="185">
        <f t="shared" si="12"/>
        <v>41253</v>
      </c>
      <c r="D208" s="178" t="s">
        <v>610</v>
      </c>
      <c r="E208" s="185">
        <v>41253</v>
      </c>
      <c r="F208" s="186" t="s">
        <v>538</v>
      </c>
      <c r="G208" s="732" t="s">
        <v>578</v>
      </c>
      <c r="H208" s="187" t="s">
        <v>481</v>
      </c>
      <c r="I208" s="247"/>
      <c r="J208" s="247"/>
      <c r="K208" s="505">
        <v>1406040</v>
      </c>
      <c r="L208" s="506" t="s">
        <v>252</v>
      </c>
      <c r="M208" s="506" t="s">
        <v>297</v>
      </c>
      <c r="N208" s="49" t="str">
        <f>IF(AND('331-CT'!$E$7=TH!H208,OR(L208="331",M208="331")),"331",IF(AND(OR(L208="131",M208="131"),H208='131-CT'!$E$7),"131",""))</f>
        <v/>
      </c>
      <c r="O208" s="49" t="str">
        <f>IF(AND($B208&gt;='111'!$N$11,$B208&lt;='111'!$O$11,OR($L208=$O$7,$M208=$O$7)),"x","")</f>
        <v/>
      </c>
      <c r="P208" s="49" t="str">
        <f>IF(AND($L208=$O$7,$B208&lt;'111'!$N$11),"x","")</f>
        <v/>
      </c>
      <c r="Q208" s="49" t="str">
        <f>IF(AND($M208=$O$7,$B208&lt;'111'!$N$11),"x","")</f>
        <v/>
      </c>
      <c r="R208" s="49" t="str">
        <f>IF(ISERROR(FIND('112'!$M$9,G208,1)),"",IF((AND(FIND('112'!$M$9,G208,1)&gt;=1,$B208&gt;='112'!$N$8,$B208&lt;='112'!$O$8,OR($L208='112'!$I$6,$M208='112'!$I$6))),"x",""))</f>
        <v/>
      </c>
      <c r="S208" s="49" t="str">
        <f>IF(ISERROR(FIND('112'!$M$9,G208,1)),"",IF((AND(LEFT(G208,2)=LEFT('112'!$M$9,2),B208&lt;'112'!$N$8,$L208='112'!$I$6)),"x",""))</f>
        <v/>
      </c>
      <c r="T208" s="49" t="str">
        <f>IF(ISERROR(FIND('112'!$M$9,G208,1)),"",IF((AND(RIGHT(G208,2)=RIGHT('112'!$M$9,2),B208&lt;'112'!$N$8,$M208='112'!$I$6)),"x",""))</f>
        <v/>
      </c>
      <c r="U208" s="49" t="str">
        <f>IF(AND(L208="154",'154'!$O$5&lt;=B208,'154'!$P$5&gt;=B208),"154",IF(AND(L208="632",'632'!$L$5&lt;=B208,'632'!$M$5&gt;=B208),"632",IF(AND(L208="642",'642'!$N$5&lt;=B208,'642'!$O$5&gt;=B208),"642",IF(AND(L208="641",'641'!$N$5&lt;=B208,'641'!$O$5&gt;=B208),"641",""))))</f>
        <v/>
      </c>
      <c r="V208" s="49" t="str">
        <f>IF(OR(TH!L208=TH!$V$7,M208=TH!$V$7),"x","")</f>
        <v/>
      </c>
      <c r="W208" s="49" t="str">
        <f>IF(AND(B208&gt;='IN-NX'!$P$3,B208&lt;='IN-NX'!$Q$3,'IN-NX'!$D$7=D208,OR(LEFT(L208,2)="15",AND(LEFT(M208,2)&lt;&gt;"15",LEFT(M208,2)&lt;&gt;"33"))),"x","")</f>
        <v/>
      </c>
      <c r="X208" s="49" t="str">
        <f>IF(AND(OR(LEFT(TH!L208,2)="15",LEFT(TH!M208,2)="15"),'152-CT'!$J$8=TH!F208),"x","")</f>
        <v/>
      </c>
      <c r="Y208" s="49" t="str">
        <f>IF(AND(OR(LEFT(TH!L208,2)="15",LEFT(TH!M208,2)="15"),TK!$E$7=TH!F208),"x","")</f>
        <v/>
      </c>
      <c r="Z208" s="49" t="str">
        <f>IF(AND(B208&lt;=NKC!$N$8,B208&gt;=NKC!$M$8),"x","")</f>
        <v/>
      </c>
      <c r="AA208" s="723"/>
      <c r="AC208" s="199"/>
      <c r="AD208" s="199"/>
    </row>
    <row r="209" spans="1:30" s="497" customFormat="1" ht="15.75" hidden="1" customHeight="1">
      <c r="A209" s="724" t="str">
        <f>IF(B209&lt;&gt;"",IF(AND(B209&gt;=_TM1,B209&lt;=_TM2,OR(TH!L209="1111",TH!M209="1111")),TH!D209,""),"")</f>
        <v>T15</v>
      </c>
      <c r="B209" s="36">
        <f t="shared" si="11"/>
        <v>12</v>
      </c>
      <c r="C209" s="185">
        <f t="shared" si="12"/>
        <v>41253</v>
      </c>
      <c r="D209" s="178" t="s">
        <v>623</v>
      </c>
      <c r="E209" s="185">
        <v>41253</v>
      </c>
      <c r="F209" s="186" t="s">
        <v>476</v>
      </c>
      <c r="G209" s="732" t="s">
        <v>578</v>
      </c>
      <c r="H209" s="187" t="s">
        <v>481</v>
      </c>
      <c r="I209" s="247"/>
      <c r="J209" s="247"/>
      <c r="K209" s="505">
        <v>15466440</v>
      </c>
      <c r="L209" s="506" t="s">
        <v>47</v>
      </c>
      <c r="M209" s="506" t="s">
        <v>252</v>
      </c>
      <c r="N209" s="49" t="str">
        <f>IF(AND('331-CT'!$E$7=TH!H209,OR(L209="331",M209="331")),"331",IF(AND(OR(L209="131",M209="131"),H209='131-CT'!$E$7),"131",""))</f>
        <v/>
      </c>
      <c r="O209" s="49" t="str">
        <f>IF(AND($B209&gt;='111'!$N$11,$B209&lt;='111'!$O$11,OR($L209=$O$7,$M209=$O$7)),"x","")</f>
        <v>x</v>
      </c>
      <c r="P209" s="49" t="str">
        <f>IF(AND($L209=$O$7,$B209&lt;'111'!$N$11),"x","")</f>
        <v/>
      </c>
      <c r="Q209" s="49" t="str">
        <f>IF(AND($M209=$O$7,$B209&lt;'111'!$N$11),"x","")</f>
        <v/>
      </c>
      <c r="R209" s="49" t="str">
        <f>IF(ISERROR(FIND('112'!$M$9,G209,1)),"",IF((AND(FIND('112'!$M$9,G209,1)&gt;=1,$B209&gt;='112'!$N$8,$B209&lt;='112'!$O$8,OR($L209='112'!$I$6,$M209='112'!$I$6))),"x",""))</f>
        <v/>
      </c>
      <c r="S209" s="49" t="str">
        <f>IF(ISERROR(FIND('112'!$M$9,G209,1)),"",IF((AND(LEFT(G209,2)=LEFT('112'!$M$9,2),B209&lt;'112'!$N$8,$L209='112'!$I$6)),"x",""))</f>
        <v/>
      </c>
      <c r="T209" s="49" t="str">
        <f>IF(ISERROR(FIND('112'!$M$9,G209,1)),"",IF((AND(RIGHT(G209,2)=RIGHT('112'!$M$9,2),B209&lt;'112'!$N$8,$M209='112'!$I$6)),"x",""))</f>
        <v/>
      </c>
      <c r="U209" s="49" t="str">
        <f>IF(AND(L209="154",'154'!$O$5&lt;=B209,'154'!$P$5&gt;=B209),"154",IF(AND(L209="632",'632'!$L$5&lt;=B209,'632'!$M$5&gt;=B209),"632",IF(AND(L209="642",'642'!$N$5&lt;=B209,'642'!$O$5&gt;=B209),"642",IF(AND(L209="641",'641'!$N$5&lt;=B209,'641'!$O$5&gt;=B209),"641",""))))</f>
        <v/>
      </c>
      <c r="V209" s="49" t="str">
        <f>IF(OR(TH!L209=TH!$V$7,M209=TH!$V$7),"x","")</f>
        <v/>
      </c>
      <c r="W209" s="49" t="str">
        <f>IF(AND(B209&gt;='IN-NX'!$P$3,B209&lt;='IN-NX'!$Q$3,'IN-NX'!$D$7=D209,OR(LEFT(L209,2)="15",AND(LEFT(M209,2)&lt;&gt;"15",LEFT(M209,2)&lt;&gt;"33"))),"x","")</f>
        <v/>
      </c>
      <c r="X209" s="49" t="str">
        <f>IF(AND(OR(LEFT(TH!L209,2)="15",LEFT(TH!M209,2)="15"),'152-CT'!$J$8=TH!F209),"x","")</f>
        <v/>
      </c>
      <c r="Y209" s="49" t="str">
        <f>IF(AND(OR(LEFT(TH!L209,2)="15",LEFT(TH!M209,2)="15"),TK!$E$7=TH!F209),"x","")</f>
        <v/>
      </c>
      <c r="Z209" s="49" t="str">
        <f>IF(AND(B209&lt;=NKC!$N$8,B209&gt;=NKC!$M$8),"x","")</f>
        <v/>
      </c>
      <c r="AA209" s="723"/>
      <c r="AC209" s="199"/>
      <c r="AD209" s="199"/>
    </row>
    <row r="210" spans="1:30" s="497" customFormat="1" ht="15.75" hidden="1" customHeight="1">
      <c r="A210" s="724" t="str">
        <f>IF(B210&lt;&gt;"",IF(AND(B210&gt;=_TM1,B210&lt;=_TM2,OR(TH!L210="1111",TH!M210="1111")),TH!D210,""),"")</f>
        <v>C25</v>
      </c>
      <c r="B210" s="36">
        <f t="shared" si="11"/>
        <v>12</v>
      </c>
      <c r="C210" s="185">
        <f t="shared" si="12"/>
        <v>41255</v>
      </c>
      <c r="D210" s="185" t="s">
        <v>523</v>
      </c>
      <c r="E210" s="178">
        <v>41255</v>
      </c>
      <c r="F210" s="183" t="s">
        <v>472</v>
      </c>
      <c r="G210" s="732" t="s">
        <v>470</v>
      </c>
      <c r="H210" s="187" t="s">
        <v>471</v>
      </c>
      <c r="I210" s="247"/>
      <c r="J210" s="247"/>
      <c r="K210" s="505">
        <v>262000</v>
      </c>
      <c r="L210" s="506" t="s">
        <v>83</v>
      </c>
      <c r="M210" s="506" t="s">
        <v>47</v>
      </c>
      <c r="N210" s="49" t="str">
        <f>IF(AND('331-CT'!$E$7=TH!H210,OR(L210="331",M210="331")),"331",IF(AND(OR(L210="131",M210="131"),H210='131-CT'!$E$7),"131",""))</f>
        <v/>
      </c>
      <c r="O210" s="49" t="str">
        <f>IF(AND($B210&gt;='111'!$N$11,$B210&lt;='111'!$O$11,OR($L210=$O$7,$M210=$O$7)),"x","")</f>
        <v>x</v>
      </c>
      <c r="P210" s="49" t="str">
        <f>IF(AND($L210=$O$7,$B210&lt;'111'!$N$11),"x","")</f>
        <v/>
      </c>
      <c r="Q210" s="49" t="str">
        <f>IF(AND($M210=$O$7,$B210&lt;'111'!$N$11),"x","")</f>
        <v/>
      </c>
      <c r="R210" s="49" t="str">
        <f>IF(ISERROR(FIND('112'!$M$9,G210,1)),"",IF((AND(FIND('112'!$M$9,G210,1)&gt;=1,$B210&gt;='112'!$N$8,$B210&lt;='112'!$O$8,OR($L210='112'!$I$6,$M210='112'!$I$6))),"x",""))</f>
        <v/>
      </c>
      <c r="S210" s="49" t="str">
        <f>IF(ISERROR(FIND('112'!$M$9,G210,1)),"",IF((AND(LEFT(G210,2)=LEFT('112'!$M$9,2),B210&lt;'112'!$N$8,$L210='112'!$I$6)),"x",""))</f>
        <v/>
      </c>
      <c r="T210" s="49" t="str">
        <f>IF(ISERROR(FIND('112'!$M$9,G210,1)),"",IF((AND(RIGHT(G210,2)=RIGHT('112'!$M$9,2),B210&lt;'112'!$N$8,$M210='112'!$I$6)),"x",""))</f>
        <v/>
      </c>
      <c r="U210" s="49" t="str">
        <f>IF(AND(L210="154",'154'!$O$5&lt;=B210,'154'!$P$5&gt;=B210),"154",IF(AND(L210="632",'632'!$L$5&lt;=B210,'632'!$M$5&gt;=B210),"632",IF(AND(L210="642",'642'!$N$5&lt;=B210,'642'!$O$5&gt;=B210),"642",IF(AND(L210="641",'641'!$N$5&lt;=B210,'641'!$O$5&gt;=B210),"641",""))))</f>
        <v/>
      </c>
      <c r="V210" s="49" t="str">
        <f>IF(OR(TH!L210=TH!$V$7,M210=TH!$V$7),"x","")</f>
        <v/>
      </c>
      <c r="W210" s="49" t="str">
        <f>IF(AND(B210&gt;='IN-NX'!$P$3,B210&lt;='IN-NX'!$Q$3,'IN-NX'!$D$7=D210,OR(LEFT(L210,2)="15",AND(LEFT(M210,2)&lt;&gt;"15",LEFT(M210,2)&lt;&gt;"33"))),"x","")</f>
        <v/>
      </c>
      <c r="X210" s="49" t="str">
        <f>IF(AND(OR(LEFT(TH!L210,2)="15",LEFT(TH!M210,2)="15"),'152-CT'!$J$8=TH!F210),"x","")</f>
        <v/>
      </c>
      <c r="Y210" s="49" t="str">
        <f>IF(AND(OR(LEFT(TH!L210,2)="15",LEFT(TH!M210,2)="15"),TK!$E$7=TH!F210),"x","")</f>
        <v/>
      </c>
      <c r="Z210" s="49" t="str">
        <f>IF(AND(B210&lt;=NKC!$N$8,B210&gt;=NKC!$M$8),"x","")</f>
        <v/>
      </c>
      <c r="AA210" s="723"/>
      <c r="AC210" s="199"/>
    </row>
    <row r="211" spans="1:30" s="497" customFormat="1" ht="15.75" hidden="1" customHeight="1">
      <c r="A211" s="724" t="str">
        <f>IF(B211&lt;&gt;"",IF(AND(B211&gt;=_TM1,B211&lt;=_TM2,OR(TH!L211="1111",TH!M211="1111")),TH!D211,""),"")</f>
        <v>C26</v>
      </c>
      <c r="B211" s="36">
        <f t="shared" si="11"/>
        <v>12</v>
      </c>
      <c r="C211" s="185">
        <f t="shared" si="12"/>
        <v>41258</v>
      </c>
      <c r="D211" s="185" t="s">
        <v>524</v>
      </c>
      <c r="E211" s="178">
        <v>41258</v>
      </c>
      <c r="F211" s="186" t="s">
        <v>381</v>
      </c>
      <c r="G211" s="731" t="s">
        <v>457</v>
      </c>
      <c r="H211" s="198" t="s">
        <v>383</v>
      </c>
      <c r="I211" s="247"/>
      <c r="J211" s="247"/>
      <c r="K211" s="37">
        <f>261457+385262</f>
        <v>646719</v>
      </c>
      <c r="L211" s="188" t="s">
        <v>83</v>
      </c>
      <c r="M211" s="188" t="s">
        <v>47</v>
      </c>
      <c r="N211" s="49" t="str">
        <f>IF(AND('331-CT'!$E$7=TH!H211,OR(L211="331",M211="331")),"331",IF(AND(OR(L211="131",M211="131"),H211='131-CT'!$E$7),"131",""))</f>
        <v/>
      </c>
      <c r="O211" s="49" t="str">
        <f>IF(AND($B211&gt;='111'!$N$11,$B211&lt;='111'!$O$11,OR($L211=$O$7,$M211=$O$7)),"x","")</f>
        <v>x</v>
      </c>
      <c r="P211" s="49" t="str">
        <f>IF(AND($L211=$O$7,$B211&lt;'111'!$N$11),"x","")</f>
        <v/>
      </c>
      <c r="Q211" s="49" t="str">
        <f>IF(AND($M211=$O$7,$B211&lt;'111'!$N$11),"x","")</f>
        <v/>
      </c>
      <c r="R211" s="49" t="str">
        <f>IF(ISERROR(FIND('112'!$M$9,G211,1)),"",IF((AND(FIND('112'!$M$9,G211,1)&gt;=1,$B211&gt;='112'!$N$8,$B211&lt;='112'!$O$8,OR($L211='112'!$I$6,$M211='112'!$I$6))),"x",""))</f>
        <v/>
      </c>
      <c r="S211" s="49" t="str">
        <f>IF(ISERROR(FIND('112'!$M$9,G211,1)),"",IF((AND(LEFT(G211,2)=LEFT('112'!$M$9,2),B211&lt;'112'!$N$8,$L211='112'!$I$6)),"x",""))</f>
        <v/>
      </c>
      <c r="T211" s="49" t="str">
        <f>IF(ISERROR(FIND('112'!$M$9,G211,1)),"",IF((AND(RIGHT(G211,2)=RIGHT('112'!$M$9,2),B211&lt;'112'!$N$8,$M211='112'!$I$6)),"x",""))</f>
        <v/>
      </c>
      <c r="U211" s="49" t="str">
        <f>IF(AND(L211="154",'154'!$O$5&lt;=B211,'154'!$P$5&gt;=B211),"154",IF(AND(L211="632",'632'!$L$5&lt;=B211,'632'!$M$5&gt;=B211),"632",IF(AND(L211="642",'642'!$N$5&lt;=B211,'642'!$O$5&gt;=B211),"642",IF(AND(L211="641",'641'!$N$5&lt;=B211,'641'!$O$5&gt;=B211),"641",""))))</f>
        <v/>
      </c>
      <c r="V211" s="49" t="str">
        <f>IF(OR(TH!L211=TH!$V$7,M211=TH!$V$7),"x","")</f>
        <v/>
      </c>
      <c r="W211" s="49" t="str">
        <f>IF(AND(B211&gt;='IN-NX'!$P$3,B211&lt;='IN-NX'!$Q$3,'IN-NX'!$D$7=D211,OR(LEFT(L211,2)="15",AND(LEFT(M211,2)&lt;&gt;"15",LEFT(M211,2)&lt;&gt;"33"))),"x","")</f>
        <v/>
      </c>
      <c r="X211" s="49" t="str">
        <f>IF(AND(OR(LEFT(TH!L211,2)="15",LEFT(TH!M211,2)="15"),'152-CT'!$J$8=TH!F211),"x","")</f>
        <v/>
      </c>
      <c r="Y211" s="49" t="str">
        <f>IF(AND(OR(LEFT(TH!L211,2)="15",LEFT(TH!M211,2)="15"),TK!$E$7=TH!F211),"x","")</f>
        <v/>
      </c>
      <c r="Z211" s="49" t="str">
        <f>IF(AND(B211&lt;=NKC!$N$8,B211&gt;=NKC!$M$8),"x","")</f>
        <v/>
      </c>
      <c r="AA211" s="723"/>
    </row>
    <row r="212" spans="1:30" s="497" customFormat="1" ht="15.75" hidden="1" customHeight="1">
      <c r="A212" s="724" t="str">
        <f>IF(B212&lt;&gt;"",IF(AND(B212&gt;=_TM1,B212&lt;=_TM2,OR(TH!L212="1111",TH!M212="1111")),TH!D212,""),"")</f>
        <v>C26</v>
      </c>
      <c r="B212" s="36">
        <f t="shared" si="11"/>
        <v>12</v>
      </c>
      <c r="C212" s="185">
        <f t="shared" si="12"/>
        <v>41258</v>
      </c>
      <c r="D212" s="185" t="s">
        <v>524</v>
      </c>
      <c r="E212" s="178">
        <v>41258</v>
      </c>
      <c r="F212" s="186" t="s">
        <v>382</v>
      </c>
      <c r="G212" s="731" t="s">
        <v>457</v>
      </c>
      <c r="H212" s="198" t="s">
        <v>383</v>
      </c>
      <c r="I212" s="247"/>
      <c r="J212" s="247"/>
      <c r="K212" s="37">
        <f>26146+38526</f>
        <v>64672</v>
      </c>
      <c r="L212" s="188" t="s">
        <v>83</v>
      </c>
      <c r="M212" s="188" t="s">
        <v>47</v>
      </c>
      <c r="N212" s="49" t="str">
        <f>IF(AND('331-CT'!$E$7=TH!H212,OR(L212="331",M212="331")),"331",IF(AND(OR(L212="131",M212="131"),H212='131-CT'!$E$7),"131",""))</f>
        <v/>
      </c>
      <c r="O212" s="49" t="str">
        <f>IF(AND($B212&gt;='111'!$N$11,$B212&lt;='111'!$O$11,OR($L212=$O$7,$M212=$O$7)),"x","")</f>
        <v>x</v>
      </c>
      <c r="P212" s="49" t="str">
        <f>IF(AND($L212=$O$7,$B212&lt;'111'!$N$11),"x","")</f>
        <v/>
      </c>
      <c r="Q212" s="49" t="str">
        <f>IF(AND($M212=$O$7,$B212&lt;'111'!$N$11),"x","")</f>
        <v/>
      </c>
      <c r="R212" s="49" t="str">
        <f>IF(ISERROR(FIND('112'!$M$9,G212,1)),"",IF((AND(FIND('112'!$M$9,G212,1)&gt;=1,$B212&gt;='112'!$N$8,$B212&lt;='112'!$O$8,OR($L212='112'!$I$6,$M212='112'!$I$6))),"x",""))</f>
        <v/>
      </c>
      <c r="S212" s="49" t="str">
        <f>IF(ISERROR(FIND('112'!$M$9,G212,1)),"",IF((AND(LEFT(G212,2)=LEFT('112'!$M$9,2),B212&lt;'112'!$N$8,$L212='112'!$I$6)),"x",""))</f>
        <v/>
      </c>
      <c r="T212" s="49" t="str">
        <f>IF(ISERROR(FIND('112'!$M$9,G212,1)),"",IF((AND(RIGHT(G212,2)=RIGHT('112'!$M$9,2),B212&lt;'112'!$N$8,$M212='112'!$I$6)),"x",""))</f>
        <v/>
      </c>
      <c r="U212" s="49" t="str">
        <f>IF(AND(L212="154",'154'!$O$5&lt;=B212,'154'!$P$5&gt;=B212),"154",IF(AND(L212="632",'632'!$L$5&lt;=B212,'632'!$M$5&gt;=B212),"632",IF(AND(L212="642",'642'!$N$5&lt;=B212,'642'!$O$5&gt;=B212),"642",IF(AND(L212="641",'641'!$N$5&lt;=B212,'641'!$O$5&gt;=B212),"641",""))))</f>
        <v/>
      </c>
      <c r="V212" s="49" t="str">
        <f>IF(OR(TH!L212=TH!$V$7,M212=TH!$V$7),"x","")</f>
        <v/>
      </c>
      <c r="W212" s="49" t="str">
        <f>IF(AND(B212&gt;='IN-NX'!$P$3,B212&lt;='IN-NX'!$Q$3,'IN-NX'!$D$7=D212,OR(LEFT(L212,2)="15",AND(LEFT(M212,2)&lt;&gt;"15",LEFT(M212,2)&lt;&gt;"33"))),"x","")</f>
        <v/>
      </c>
      <c r="X212" s="49" t="str">
        <f>IF(AND(OR(LEFT(TH!L212,2)="15",LEFT(TH!M212,2)="15"),'152-CT'!$J$8=TH!F212),"x","")</f>
        <v/>
      </c>
      <c r="Y212" s="49" t="str">
        <f>IF(AND(OR(LEFT(TH!L212,2)="15",LEFT(TH!M212,2)="15"),TK!$E$7=TH!F212),"x","")</f>
        <v/>
      </c>
      <c r="Z212" s="49" t="str">
        <f>IF(AND(B212&lt;=NKC!$N$8,B212&gt;=NKC!$M$8),"x","")</f>
        <v/>
      </c>
      <c r="AA212" s="723"/>
    </row>
    <row r="213" spans="1:30" s="497" customFormat="1" ht="15.75" hidden="1" customHeight="1">
      <c r="A213" s="724" t="str">
        <f>IF(B213&lt;&gt;"",IF(AND(B213&gt;=_TM1,B213&lt;=_TM2,OR(TH!L213="1111",TH!M213="1111")),TH!D213,""),"")</f>
        <v>C27</v>
      </c>
      <c r="B213" s="36">
        <f t="shared" si="11"/>
        <v>12</v>
      </c>
      <c r="C213" s="185">
        <f t="shared" si="12"/>
        <v>41260</v>
      </c>
      <c r="D213" s="185" t="s">
        <v>525</v>
      </c>
      <c r="E213" s="178">
        <v>41260</v>
      </c>
      <c r="F213" s="186" t="s">
        <v>379</v>
      </c>
      <c r="G213" s="731" t="s">
        <v>458</v>
      </c>
      <c r="H213" s="198" t="s">
        <v>378</v>
      </c>
      <c r="I213" s="247"/>
      <c r="J213" s="247"/>
      <c r="K213" s="37">
        <f>77272+181818+18182</f>
        <v>277272</v>
      </c>
      <c r="L213" s="188" t="s">
        <v>83</v>
      </c>
      <c r="M213" s="188" t="s">
        <v>47</v>
      </c>
      <c r="N213" s="49" t="str">
        <f>IF(AND('331-CT'!$E$7=TH!H213,OR(L213="331",M213="331")),"331",IF(AND(OR(L213="131",M213="131"),H213='131-CT'!$E$7),"131",""))</f>
        <v/>
      </c>
      <c r="O213" s="49" t="str">
        <f>IF(AND($B213&gt;='111'!$N$11,$B213&lt;='111'!$O$11,OR($L213=$O$7,$M213=$O$7)),"x","")</f>
        <v>x</v>
      </c>
      <c r="P213" s="49" t="str">
        <f>IF(AND($L213=$O$7,$B213&lt;'111'!$N$11),"x","")</f>
        <v/>
      </c>
      <c r="Q213" s="49" t="str">
        <f>IF(AND($M213=$O$7,$B213&lt;'111'!$N$11),"x","")</f>
        <v/>
      </c>
      <c r="R213" s="49" t="str">
        <f>IF(ISERROR(FIND('112'!$M$9,G213,1)),"",IF((AND(FIND('112'!$M$9,G213,1)&gt;=1,$B213&gt;='112'!$N$8,$B213&lt;='112'!$O$8,OR($L213='112'!$I$6,$M213='112'!$I$6))),"x",""))</f>
        <v/>
      </c>
      <c r="S213" s="49" t="str">
        <f>IF(ISERROR(FIND('112'!$M$9,G213,1)),"",IF((AND(LEFT(G213,2)=LEFT('112'!$M$9,2),B213&lt;'112'!$N$8,$L213='112'!$I$6)),"x",""))</f>
        <v/>
      </c>
      <c r="T213" s="49" t="str">
        <f>IF(ISERROR(FIND('112'!$M$9,G213,1)),"",IF((AND(RIGHT(G213,2)=RIGHT('112'!$M$9,2),B213&lt;'112'!$N$8,$M213='112'!$I$6)),"x",""))</f>
        <v/>
      </c>
      <c r="U213" s="49" t="str">
        <f>IF(AND(L213="154",'154'!$O$5&lt;=B213,'154'!$P$5&gt;=B213),"154",IF(AND(L213="632",'632'!$L$5&lt;=B213,'632'!$M$5&gt;=B213),"632",IF(AND(L213="642",'642'!$N$5&lt;=B213,'642'!$O$5&gt;=B213),"642",IF(AND(L213="641",'641'!$N$5&lt;=B213,'641'!$O$5&gt;=B213),"641",""))))</f>
        <v/>
      </c>
      <c r="V213" s="49" t="str">
        <f>IF(OR(TH!L213=TH!$V$7,M213=TH!$V$7),"x","")</f>
        <v/>
      </c>
      <c r="W213" s="49" t="str">
        <f>IF(AND(B213&gt;='IN-NX'!$P$3,B213&lt;='IN-NX'!$Q$3,'IN-NX'!$D$7=D213,OR(LEFT(L213,2)="15",AND(LEFT(M213,2)&lt;&gt;"15",LEFT(M213,2)&lt;&gt;"33"))),"x","")</f>
        <v/>
      </c>
      <c r="X213" s="49" t="str">
        <f>IF(AND(OR(LEFT(TH!L213,2)="15",LEFT(TH!M213,2)="15"),'152-CT'!$J$8=TH!F213),"x","")</f>
        <v/>
      </c>
      <c r="Y213" s="49" t="str">
        <f>IF(AND(OR(LEFT(TH!L213,2)="15",LEFT(TH!M213,2)="15"),TK!$E$7=TH!F213),"x","")</f>
        <v/>
      </c>
      <c r="Z213" s="49" t="str">
        <f>IF(AND(B213&lt;=NKC!$N$8,B213&gt;=NKC!$M$8),"x","")</f>
        <v/>
      </c>
      <c r="AA213" s="723"/>
    </row>
    <row r="214" spans="1:30" s="199" customFormat="1" ht="15.75" customHeight="1">
      <c r="A214" s="724" t="str">
        <f>IF(B214&lt;&gt;"",IF(AND(B214&gt;=_TM1,B214&lt;=_TM2,OR(TH!L214="1111",TH!M214="1111")),TH!D214,""),"")</f>
        <v>C27</v>
      </c>
      <c r="B214" s="36">
        <f t="shared" si="11"/>
        <v>12</v>
      </c>
      <c r="C214" s="185">
        <f t="shared" si="12"/>
        <v>41260</v>
      </c>
      <c r="D214" s="185" t="s">
        <v>525</v>
      </c>
      <c r="E214" s="178">
        <v>41260</v>
      </c>
      <c r="F214" s="186" t="s">
        <v>380</v>
      </c>
      <c r="G214" s="731" t="s">
        <v>458</v>
      </c>
      <c r="H214" s="198" t="s">
        <v>378</v>
      </c>
      <c r="I214" s="247"/>
      <c r="J214" s="247"/>
      <c r="K214" s="37">
        <f>7728</f>
        <v>7728</v>
      </c>
      <c r="L214" s="188" t="s">
        <v>9</v>
      </c>
      <c r="M214" s="188" t="s">
        <v>47</v>
      </c>
      <c r="N214" s="49" t="str">
        <f>IF(AND('331-CT'!$E$7=TH!H214,OR(L214="331",M214="331")),"331",IF(AND(OR(L214="131",M214="131"),H214='131-CT'!$E$7),"131",""))</f>
        <v/>
      </c>
      <c r="O214" s="49" t="str">
        <f>IF(AND($B214&gt;='111'!$N$11,$B214&lt;='111'!$O$11,OR($L214=$O$7,$M214=$O$7)),"x","")</f>
        <v>x</v>
      </c>
      <c r="P214" s="49" t="str">
        <f>IF(AND($L214=$O$7,$B214&lt;'111'!$N$11),"x","")</f>
        <v/>
      </c>
      <c r="Q214" s="49" t="str">
        <f>IF(AND($M214=$O$7,$B214&lt;'111'!$N$11),"x","")</f>
        <v/>
      </c>
      <c r="R214" s="49" t="str">
        <f>IF(ISERROR(FIND('112'!$M$9,G214,1)),"",IF((AND(FIND('112'!$M$9,G214,1)&gt;=1,$B214&gt;='112'!$N$8,$B214&lt;='112'!$O$8,OR($L214='112'!$I$6,$M214='112'!$I$6))),"x",""))</f>
        <v/>
      </c>
      <c r="S214" s="49" t="str">
        <f>IF(ISERROR(FIND('112'!$M$9,G214,1)),"",IF((AND(LEFT(G214,2)=LEFT('112'!$M$9,2),B214&lt;'112'!$N$8,$L214='112'!$I$6)),"x",""))</f>
        <v/>
      </c>
      <c r="T214" s="49" t="str">
        <f>IF(ISERROR(FIND('112'!$M$9,G214,1)),"",IF((AND(RIGHT(G214,2)=RIGHT('112'!$M$9,2),B214&lt;'112'!$N$8,$M214='112'!$I$6)),"x",""))</f>
        <v/>
      </c>
      <c r="U214" s="49" t="str">
        <f>IF(AND(L214="154",'154'!$O$5&lt;=B214,'154'!$P$5&gt;=B214),"154",IF(AND(L214="632",'632'!$L$5&lt;=B214,'632'!$M$5&gt;=B214),"632",IF(AND(L214="642",'642'!$N$5&lt;=B214,'642'!$O$5&gt;=B214),"642",IF(AND(L214="641",'641'!$N$5&lt;=B214,'641'!$O$5&gt;=B214),"641",""))))</f>
        <v/>
      </c>
      <c r="V214" s="49" t="str">
        <f>IF(OR(TH!L214=TH!$V$7,M214=TH!$V$7),"x","")</f>
        <v>x</v>
      </c>
      <c r="W214" s="49" t="str">
        <f>IF(AND(B214&gt;='IN-NX'!$P$3,B214&lt;='IN-NX'!$Q$3,'IN-NX'!$D$7=D214,OR(LEFT(L214,2)="15",AND(LEFT(M214,2)&lt;&gt;"15",LEFT(M214,2)&lt;&gt;"33"))),"x","")</f>
        <v/>
      </c>
      <c r="X214" s="49" t="str">
        <f>IF(AND(OR(LEFT(TH!L214,2)="15",LEFT(TH!M214,2)="15"),'152-CT'!$J$8=TH!F214),"x","")</f>
        <v/>
      </c>
      <c r="Y214" s="49" t="str">
        <f>IF(AND(OR(LEFT(TH!L214,2)="15",LEFT(TH!M214,2)="15"),TK!$E$7=TH!F214),"x","")</f>
        <v/>
      </c>
      <c r="Z214" s="49" t="str">
        <f>IF(AND(B214&lt;=NKC!$N$8,B214&gt;=NKC!$M$8),"x","")</f>
        <v/>
      </c>
      <c r="AA214" s="723">
        <v>12</v>
      </c>
      <c r="AB214" s="497"/>
      <c r="AC214" s="497"/>
      <c r="AD214" s="497"/>
    </row>
    <row r="215" spans="1:30" s="199" customFormat="1" ht="15.75" hidden="1" customHeight="1">
      <c r="A215" s="724" t="str">
        <f>IF(B215&lt;&gt;"",IF(AND(B215&gt;=_TM1,B215&lt;=_TM2,OR(TH!L215="1111",TH!M215="1111")),TH!D215,""),"")</f>
        <v/>
      </c>
      <c r="B215" s="36">
        <f t="shared" si="11"/>
        <v>12</v>
      </c>
      <c r="C215" s="185">
        <f t="shared" si="12"/>
        <v>41267</v>
      </c>
      <c r="D215" s="178" t="s">
        <v>611</v>
      </c>
      <c r="E215" s="185">
        <v>41267</v>
      </c>
      <c r="F215" s="186" t="s">
        <v>579</v>
      </c>
      <c r="G215" s="732" t="s">
        <v>580</v>
      </c>
      <c r="H215" s="187" t="s">
        <v>484</v>
      </c>
      <c r="I215" s="247">
        <v>180</v>
      </c>
      <c r="J215" s="247">
        <v>24201</v>
      </c>
      <c r="K215" s="505">
        <f>ROUND(I215*J215,0)</f>
        <v>4356180</v>
      </c>
      <c r="L215" s="506" t="s">
        <v>252</v>
      </c>
      <c r="M215" s="506" t="s">
        <v>164</v>
      </c>
      <c r="N215" s="49" t="str">
        <f>IF(AND('331-CT'!$E$7=TH!H215,OR(L215="331",M215="331")),"331",IF(AND(OR(L215="131",M215="131"),H215='131-CT'!$E$7),"131",""))</f>
        <v/>
      </c>
      <c r="O215" s="49" t="str">
        <f>IF(AND($B215&gt;='111'!$N$11,$B215&lt;='111'!$O$11,OR($L215=$O$7,$M215=$O$7)),"x","")</f>
        <v/>
      </c>
      <c r="P215" s="49" t="str">
        <f>IF(AND($L215=$O$7,$B215&lt;'111'!$N$11),"x","")</f>
        <v/>
      </c>
      <c r="Q215" s="49" t="str">
        <f>IF(AND($M215=$O$7,$B215&lt;'111'!$N$11),"x","")</f>
        <v/>
      </c>
      <c r="R215" s="49" t="str">
        <f>IF(ISERROR(FIND('112'!$M$9,G215,1)),"",IF((AND(FIND('112'!$M$9,G215,1)&gt;=1,$B215&gt;='112'!$N$8,$B215&lt;='112'!$O$8,OR($L215='112'!$I$6,$M215='112'!$I$6))),"x",""))</f>
        <v/>
      </c>
      <c r="S215" s="49" t="str">
        <f>IF(ISERROR(FIND('112'!$M$9,G215,1)),"",IF((AND(LEFT(G215,2)=LEFT('112'!$M$9,2),B215&lt;'112'!$N$8,$L215='112'!$I$6)),"x",""))</f>
        <v/>
      </c>
      <c r="T215" s="49" t="str">
        <f>IF(ISERROR(FIND('112'!$M$9,G215,1)),"",IF((AND(RIGHT(G215,2)=RIGHT('112'!$M$9,2),B215&lt;'112'!$N$8,$M215='112'!$I$6)),"x",""))</f>
        <v/>
      </c>
      <c r="U215" s="49" t="str">
        <f>IF(AND(L215="154",'154'!$O$5&lt;=B215,'154'!$P$5&gt;=B215),"154",IF(AND(L215="632",'632'!$L$5&lt;=B215,'632'!$M$5&gt;=B215),"632",IF(AND(L215="642",'642'!$N$5&lt;=B215,'642'!$O$5&gt;=B215),"642",IF(AND(L215="641",'641'!$N$5&lt;=B215,'641'!$O$5&gt;=B215),"641",""))))</f>
        <v/>
      </c>
      <c r="V215" s="49" t="str">
        <f>IF(OR(TH!L215=TH!$V$7,M215=TH!$V$7),"x","")</f>
        <v/>
      </c>
      <c r="W215" s="49" t="str">
        <f>IF(AND(B215&gt;='IN-NX'!$P$3,B215&lt;='IN-NX'!$Q$3,'IN-NX'!$D$7=D215,OR(LEFT(L215,2)="15",AND(LEFT(M215,2)&lt;&gt;"15",LEFT(M215,2)&lt;&gt;"33"))),"x","")</f>
        <v/>
      </c>
      <c r="X215" s="49" t="str">
        <f>IF(AND(OR(LEFT(TH!L215,2)="15",LEFT(TH!M215,2)="15"),'152-CT'!$J$8=TH!F215),"x","")</f>
        <v/>
      </c>
      <c r="Y215" s="49" t="str">
        <f>IF(AND(OR(LEFT(TH!L215,2)="15",LEFT(TH!M215,2)="15"),TK!$E$7=TH!F215),"x","")</f>
        <v/>
      </c>
      <c r="Z215" s="49" t="str">
        <f>IF(AND(B215&lt;=NKC!$N$8,B215&gt;=NKC!$M$8),"x","")</f>
        <v/>
      </c>
      <c r="AA215" s="723"/>
      <c r="AB215" s="497"/>
      <c r="AC215" s="497"/>
      <c r="AD215" s="497"/>
    </row>
    <row r="216" spans="1:30" s="199" customFormat="1" ht="15.75" hidden="1" customHeight="1">
      <c r="A216" s="724" t="str">
        <f>IF(B216&lt;&gt;"",IF(AND(B216&gt;=_TM1,B216&lt;=_TM2,OR(TH!L216="1111",TH!M216="1111")),TH!D216,""),"")</f>
        <v/>
      </c>
      <c r="B216" s="36">
        <f t="shared" si="11"/>
        <v>12</v>
      </c>
      <c r="C216" s="185">
        <f t="shared" si="12"/>
        <v>41267</v>
      </c>
      <c r="D216" s="178" t="s">
        <v>611</v>
      </c>
      <c r="E216" s="185">
        <v>41267</v>
      </c>
      <c r="F216" s="186" t="s">
        <v>581</v>
      </c>
      <c r="G216" s="732" t="s">
        <v>580</v>
      </c>
      <c r="H216" s="187" t="s">
        <v>484</v>
      </c>
      <c r="I216" s="247">
        <v>100</v>
      </c>
      <c r="J216" s="247">
        <v>18550</v>
      </c>
      <c r="K216" s="505">
        <f>ROUND(I216*J216,0)</f>
        <v>1855000</v>
      </c>
      <c r="L216" s="506" t="s">
        <v>252</v>
      </c>
      <c r="M216" s="506" t="s">
        <v>164</v>
      </c>
      <c r="N216" s="49" t="str">
        <f>IF(AND('331-CT'!$E$7=TH!H216,OR(L216="331",M216="331")),"331",IF(AND(OR(L216="131",M216="131"),H216='131-CT'!$E$7),"131",""))</f>
        <v/>
      </c>
      <c r="O216" s="49" t="str">
        <f>IF(AND($B216&gt;='111'!$N$11,$B216&lt;='111'!$O$11,OR($L216=$O$7,$M216=$O$7)),"x","")</f>
        <v/>
      </c>
      <c r="P216" s="49" t="str">
        <f>IF(AND($L216=$O$7,$B216&lt;'111'!$N$11),"x","")</f>
        <v/>
      </c>
      <c r="Q216" s="49" t="str">
        <f>IF(AND($M216=$O$7,$B216&lt;'111'!$N$11),"x","")</f>
        <v/>
      </c>
      <c r="R216" s="49" t="str">
        <f>IF(ISERROR(FIND('112'!$M$9,G216,1)),"",IF((AND(FIND('112'!$M$9,G216,1)&gt;=1,$B216&gt;='112'!$N$8,$B216&lt;='112'!$O$8,OR($L216='112'!$I$6,$M216='112'!$I$6))),"x",""))</f>
        <v/>
      </c>
      <c r="S216" s="49" t="str">
        <f>IF(ISERROR(FIND('112'!$M$9,G216,1)),"",IF((AND(LEFT(G216,2)=LEFT('112'!$M$9,2),B216&lt;'112'!$N$8,$L216='112'!$I$6)),"x",""))</f>
        <v/>
      </c>
      <c r="T216" s="49" t="str">
        <f>IF(ISERROR(FIND('112'!$M$9,G216,1)),"",IF((AND(RIGHT(G216,2)=RIGHT('112'!$M$9,2),B216&lt;'112'!$N$8,$M216='112'!$I$6)),"x",""))</f>
        <v/>
      </c>
      <c r="U216" s="49" t="str">
        <f>IF(AND(L216="154",'154'!$O$5&lt;=B216,'154'!$P$5&gt;=B216),"154",IF(AND(L216="632",'632'!$L$5&lt;=B216,'632'!$M$5&gt;=B216),"632",IF(AND(L216="642",'642'!$N$5&lt;=B216,'642'!$O$5&gt;=B216),"642",IF(AND(L216="641",'641'!$N$5&lt;=B216,'641'!$O$5&gt;=B216),"641",""))))</f>
        <v/>
      </c>
      <c r="V216" s="49" t="str">
        <f>IF(OR(TH!L216=TH!$V$7,M216=TH!$V$7),"x","")</f>
        <v/>
      </c>
      <c r="W216" s="49" t="str">
        <f>IF(AND(B216&gt;='IN-NX'!$P$3,B216&lt;='IN-NX'!$Q$3,'IN-NX'!$D$7=D216,OR(LEFT(L216,2)="15",AND(LEFT(M216,2)&lt;&gt;"15",LEFT(M216,2)&lt;&gt;"33"))),"x","")</f>
        <v/>
      </c>
      <c r="X216" s="49" t="str">
        <f>IF(AND(OR(LEFT(TH!L216,2)="15",LEFT(TH!M216,2)="15"),'152-CT'!$J$8=TH!F216),"x","")</f>
        <v/>
      </c>
      <c r="Y216" s="49" t="str">
        <f>IF(AND(OR(LEFT(TH!L216,2)="15",LEFT(TH!M216,2)="15"),TK!$E$7=TH!F216),"x","")</f>
        <v/>
      </c>
      <c r="Z216" s="49" t="str">
        <f>IF(AND(B216&lt;=NKC!$N$8,B216&gt;=NKC!$M$8),"x","")</f>
        <v/>
      </c>
      <c r="AA216" s="723"/>
      <c r="AB216" s="497"/>
      <c r="AC216" s="497"/>
      <c r="AD216" s="497"/>
    </row>
    <row r="217" spans="1:30" s="199" customFormat="1" ht="15.75" hidden="1" customHeight="1">
      <c r="A217" s="724" t="str">
        <f>IF(B217&lt;&gt;"",IF(AND(B217&gt;=_TM1,B217&lt;=_TM2,OR(TH!L217="1111",TH!M217="1111")),TH!D217,""),"")</f>
        <v/>
      </c>
      <c r="B217" s="36">
        <f t="shared" si="11"/>
        <v>12</v>
      </c>
      <c r="C217" s="185">
        <f t="shared" si="12"/>
        <v>41267</v>
      </c>
      <c r="D217" s="178" t="s">
        <v>611</v>
      </c>
      <c r="E217" s="185">
        <v>41267</v>
      </c>
      <c r="F217" s="186" t="s">
        <v>582</v>
      </c>
      <c r="G217" s="732" t="s">
        <v>580</v>
      </c>
      <c r="H217" s="187" t="s">
        <v>484</v>
      </c>
      <c r="I217" s="247">
        <v>180</v>
      </c>
      <c r="J217" s="247">
        <v>24000</v>
      </c>
      <c r="K217" s="505">
        <f>ROUND(I217*J217,0)</f>
        <v>4320000</v>
      </c>
      <c r="L217" s="506" t="s">
        <v>252</v>
      </c>
      <c r="M217" s="506" t="s">
        <v>164</v>
      </c>
      <c r="N217" s="49" t="str">
        <f>IF(AND('331-CT'!$E$7=TH!H217,OR(L217="331",M217="331")),"331",IF(AND(OR(L217="131",M217="131"),H217='131-CT'!$E$7),"131",""))</f>
        <v/>
      </c>
      <c r="O217" s="49" t="str">
        <f>IF(AND($B217&gt;='111'!$N$11,$B217&lt;='111'!$O$11,OR($L217=$O$7,$M217=$O$7)),"x","")</f>
        <v/>
      </c>
      <c r="P217" s="49" t="str">
        <f>IF(AND($L217=$O$7,$B217&lt;'111'!$N$11),"x","")</f>
        <v/>
      </c>
      <c r="Q217" s="49" t="str">
        <f>IF(AND($M217=$O$7,$B217&lt;'111'!$N$11),"x","")</f>
        <v/>
      </c>
      <c r="R217" s="49" t="str">
        <f>IF(ISERROR(FIND('112'!$M$9,G217,1)),"",IF((AND(FIND('112'!$M$9,G217,1)&gt;=1,$B217&gt;='112'!$N$8,$B217&lt;='112'!$O$8,OR($L217='112'!$I$6,$M217='112'!$I$6))),"x",""))</f>
        <v/>
      </c>
      <c r="S217" s="49" t="str">
        <f>IF(ISERROR(FIND('112'!$M$9,G217,1)),"",IF((AND(LEFT(G217,2)=LEFT('112'!$M$9,2),B217&lt;'112'!$N$8,$L217='112'!$I$6)),"x",""))</f>
        <v/>
      </c>
      <c r="T217" s="49" t="str">
        <f>IF(ISERROR(FIND('112'!$M$9,G217,1)),"",IF((AND(RIGHT(G217,2)=RIGHT('112'!$M$9,2),B217&lt;'112'!$N$8,$M217='112'!$I$6)),"x",""))</f>
        <v/>
      </c>
      <c r="U217" s="49" t="str">
        <f>IF(AND(L217="154",'154'!$O$5&lt;=B217,'154'!$P$5&gt;=B217),"154",IF(AND(L217="632",'632'!$L$5&lt;=B217,'632'!$M$5&gt;=B217),"632",IF(AND(L217="642",'642'!$N$5&lt;=B217,'642'!$O$5&gt;=B217),"642",IF(AND(L217="641",'641'!$N$5&lt;=B217,'641'!$O$5&gt;=B217),"641",""))))</f>
        <v/>
      </c>
      <c r="V217" s="49" t="str">
        <f>IF(OR(TH!L217=TH!$V$7,M217=TH!$V$7),"x","")</f>
        <v/>
      </c>
      <c r="W217" s="49" t="str">
        <f>IF(AND(B217&gt;='IN-NX'!$P$3,B217&lt;='IN-NX'!$Q$3,'IN-NX'!$D$7=D217,OR(LEFT(L217,2)="15",AND(LEFT(M217,2)&lt;&gt;"15",LEFT(M217,2)&lt;&gt;"33"))),"x","")</f>
        <v/>
      </c>
      <c r="X217" s="49" t="str">
        <f>IF(AND(OR(LEFT(TH!L217,2)="15",LEFT(TH!M217,2)="15"),'152-CT'!$J$8=TH!F217),"x","")</f>
        <v/>
      </c>
      <c r="Y217" s="49" t="str">
        <f>IF(AND(OR(LEFT(TH!L217,2)="15",LEFT(TH!M217,2)="15"),TK!$E$7=TH!F217),"x","")</f>
        <v/>
      </c>
      <c r="Z217" s="49" t="str">
        <f>IF(AND(B217&lt;=NKC!$N$8,B217&gt;=NKC!$M$8),"x","")</f>
        <v/>
      </c>
      <c r="AA217" s="723"/>
      <c r="AB217" s="497"/>
    </row>
    <row r="218" spans="1:30" s="199" customFormat="1" ht="15.75" hidden="1" customHeight="1">
      <c r="A218" s="724" t="str">
        <f>IF(B218&lt;&gt;"",IF(AND(B218&gt;=_TM1,B218&lt;=_TM2,OR(TH!L218="1111",TH!M218="1111")),TH!D218,""),"")</f>
        <v/>
      </c>
      <c r="B218" s="36">
        <f t="shared" si="11"/>
        <v>12</v>
      </c>
      <c r="C218" s="185">
        <f t="shared" si="12"/>
        <v>41267</v>
      </c>
      <c r="D218" s="178" t="s">
        <v>611</v>
      </c>
      <c r="E218" s="185">
        <v>41267</v>
      </c>
      <c r="F218" s="186" t="s">
        <v>583</v>
      </c>
      <c r="G218" s="732" t="s">
        <v>580</v>
      </c>
      <c r="H218" s="187" t="s">
        <v>484</v>
      </c>
      <c r="I218" s="247">
        <v>260</v>
      </c>
      <c r="J218" s="247">
        <v>26201</v>
      </c>
      <c r="K218" s="505">
        <f>ROUND(I218*J218,0)</f>
        <v>6812260</v>
      </c>
      <c r="L218" s="506" t="s">
        <v>252</v>
      </c>
      <c r="M218" s="506" t="s">
        <v>164</v>
      </c>
      <c r="N218" s="49" t="str">
        <f>IF(AND('331-CT'!$E$7=TH!H218,OR(L218="331",M218="331")),"331",IF(AND(OR(L218="131",M218="131"),H218='131-CT'!$E$7),"131",""))</f>
        <v/>
      </c>
      <c r="O218" s="49" t="str">
        <f>IF(AND($B218&gt;='111'!$N$11,$B218&lt;='111'!$O$11,OR($L218=$O$7,$M218=$O$7)),"x","")</f>
        <v/>
      </c>
      <c r="P218" s="49" t="str">
        <f>IF(AND($L218=$O$7,$B218&lt;'111'!$N$11),"x","")</f>
        <v/>
      </c>
      <c r="Q218" s="49" t="str">
        <f>IF(AND($M218=$O$7,$B218&lt;'111'!$N$11),"x","")</f>
        <v/>
      </c>
      <c r="R218" s="49" t="str">
        <f>IF(ISERROR(FIND('112'!$M$9,G218,1)),"",IF((AND(FIND('112'!$M$9,G218,1)&gt;=1,$B218&gt;='112'!$N$8,$B218&lt;='112'!$O$8,OR($L218='112'!$I$6,$M218='112'!$I$6))),"x",""))</f>
        <v/>
      </c>
      <c r="S218" s="49" t="str">
        <f>IF(ISERROR(FIND('112'!$M$9,G218,1)),"",IF((AND(LEFT(G218,2)=LEFT('112'!$M$9,2),B218&lt;'112'!$N$8,$L218='112'!$I$6)),"x",""))</f>
        <v/>
      </c>
      <c r="T218" s="49" t="str">
        <f>IF(ISERROR(FIND('112'!$M$9,G218,1)),"",IF((AND(RIGHT(G218,2)=RIGHT('112'!$M$9,2),B218&lt;'112'!$N$8,$M218='112'!$I$6)),"x",""))</f>
        <v/>
      </c>
      <c r="U218" s="49" t="str">
        <f>IF(AND(L218="154",'154'!$O$5&lt;=B218,'154'!$P$5&gt;=B218),"154",IF(AND(L218="632",'632'!$L$5&lt;=B218,'632'!$M$5&gt;=B218),"632",IF(AND(L218="642",'642'!$N$5&lt;=B218,'642'!$O$5&gt;=B218),"642",IF(AND(L218="641",'641'!$N$5&lt;=B218,'641'!$O$5&gt;=B218),"641",""))))</f>
        <v/>
      </c>
      <c r="V218" s="49" t="str">
        <f>IF(OR(TH!L218=TH!$V$7,M218=TH!$V$7),"x","")</f>
        <v/>
      </c>
      <c r="W218" s="49" t="str">
        <f>IF(AND(B218&gt;='IN-NX'!$P$3,B218&lt;='IN-NX'!$Q$3,'IN-NX'!$D$7=D218,OR(LEFT(L218,2)="15",AND(LEFT(M218,2)&lt;&gt;"15",LEFT(M218,2)&lt;&gt;"33"))),"x","")</f>
        <v/>
      </c>
      <c r="X218" s="49" t="str">
        <f>IF(AND(OR(LEFT(TH!L218,2)="15",LEFT(TH!M218,2)="15"),'152-CT'!$J$8=TH!F218),"x","")</f>
        <v/>
      </c>
      <c r="Y218" s="49" t="str">
        <f>IF(AND(OR(LEFT(TH!L218,2)="15",LEFT(TH!M218,2)="15"),TK!$E$7=TH!F218),"x","")</f>
        <v/>
      </c>
      <c r="Z218" s="49" t="str">
        <f>IF(AND(B218&lt;=NKC!$N$8,B218&gt;=NKC!$M$8),"x","")</f>
        <v/>
      </c>
      <c r="AA218" s="723"/>
      <c r="AB218" s="497"/>
    </row>
    <row r="219" spans="1:30" s="199" customFormat="1" ht="15.75" hidden="1" customHeight="1">
      <c r="A219" s="724" t="str">
        <f>IF(B219&lt;&gt;"",IF(AND(B219&gt;=_TM1,B219&lt;=_TM2,OR(TH!L219="1111",TH!M219="1111")),TH!D219,""),"")</f>
        <v/>
      </c>
      <c r="B219" s="36">
        <f t="shared" ref="B219:B244" si="13">IF(C219&lt;&gt;"",MONTH(C219),"")</f>
        <v>12</v>
      </c>
      <c r="C219" s="185">
        <f t="shared" ref="C219:C244" si="14">E219</f>
        <v>41267</v>
      </c>
      <c r="D219" s="178" t="s">
        <v>611</v>
      </c>
      <c r="E219" s="185">
        <v>41267</v>
      </c>
      <c r="F219" s="186" t="s">
        <v>538</v>
      </c>
      <c r="G219" s="732" t="s">
        <v>580</v>
      </c>
      <c r="H219" s="187" t="s">
        <v>484</v>
      </c>
      <c r="I219" s="247"/>
      <c r="J219" s="247"/>
      <c r="K219" s="505">
        <v>1734344</v>
      </c>
      <c r="L219" s="506" t="s">
        <v>252</v>
      </c>
      <c r="M219" s="506" t="s">
        <v>297</v>
      </c>
      <c r="N219" s="49" t="str">
        <f>IF(AND('331-CT'!$E$7=TH!H219,OR(L219="331",M219="331")),"331",IF(AND(OR(L219="131",M219="131"),H219='131-CT'!$E$7),"131",""))</f>
        <v/>
      </c>
      <c r="O219" s="49" t="str">
        <f>IF(AND($B219&gt;='111'!$N$11,$B219&lt;='111'!$O$11,OR($L219=$O$7,$M219=$O$7)),"x","")</f>
        <v/>
      </c>
      <c r="P219" s="49" t="str">
        <f>IF(AND($L219=$O$7,$B219&lt;'111'!$N$11),"x","")</f>
        <v/>
      </c>
      <c r="Q219" s="49" t="str">
        <f>IF(AND($M219=$O$7,$B219&lt;'111'!$N$11),"x","")</f>
        <v/>
      </c>
      <c r="R219" s="49" t="str">
        <f>IF(ISERROR(FIND('112'!$M$9,G219,1)),"",IF((AND(FIND('112'!$M$9,G219,1)&gt;=1,$B219&gt;='112'!$N$8,$B219&lt;='112'!$O$8,OR($L219='112'!$I$6,$M219='112'!$I$6))),"x",""))</f>
        <v/>
      </c>
      <c r="S219" s="49" t="str">
        <f>IF(ISERROR(FIND('112'!$M$9,G219,1)),"",IF((AND(LEFT(G219,2)=LEFT('112'!$M$9,2),B219&lt;'112'!$N$8,$L219='112'!$I$6)),"x",""))</f>
        <v/>
      </c>
      <c r="T219" s="49" t="str">
        <f>IF(ISERROR(FIND('112'!$M$9,G219,1)),"",IF((AND(RIGHT(G219,2)=RIGHT('112'!$M$9,2),B219&lt;'112'!$N$8,$M219='112'!$I$6)),"x",""))</f>
        <v/>
      </c>
      <c r="U219" s="49" t="str">
        <f>IF(AND(L219="154",'154'!$O$5&lt;=B219,'154'!$P$5&gt;=B219),"154",IF(AND(L219="632",'632'!$L$5&lt;=B219,'632'!$M$5&gt;=B219),"632",IF(AND(L219="642",'642'!$N$5&lt;=B219,'642'!$O$5&gt;=B219),"642",IF(AND(L219="641",'641'!$N$5&lt;=B219,'641'!$O$5&gt;=B219),"641",""))))</f>
        <v/>
      </c>
      <c r="V219" s="49" t="str">
        <f>IF(OR(TH!L219=TH!$V$7,M219=TH!$V$7),"x","")</f>
        <v/>
      </c>
      <c r="W219" s="49" t="str">
        <f>IF(AND(B219&gt;='IN-NX'!$P$3,B219&lt;='IN-NX'!$Q$3,'IN-NX'!$D$7=D219,OR(LEFT(L219,2)="15",AND(LEFT(M219,2)&lt;&gt;"15",LEFT(M219,2)&lt;&gt;"33"))),"x","")</f>
        <v/>
      </c>
      <c r="X219" s="49" t="str">
        <f>IF(AND(OR(LEFT(TH!L219,2)="15",LEFT(TH!M219,2)="15"),'152-CT'!$J$8=TH!F219),"x","")</f>
        <v/>
      </c>
      <c r="Y219" s="49" t="str">
        <f>IF(AND(OR(LEFT(TH!L219,2)="15",LEFT(TH!M219,2)="15"),TK!$E$7=TH!F219),"x","")</f>
        <v/>
      </c>
      <c r="Z219" s="49" t="str">
        <f>IF(AND(B219&lt;=NKC!$N$8,B219&gt;=NKC!$M$8),"x","")</f>
        <v/>
      </c>
      <c r="AA219" s="723"/>
      <c r="AB219" s="497"/>
    </row>
    <row r="220" spans="1:30" s="199" customFormat="1" ht="15.75" hidden="1" customHeight="1">
      <c r="A220" s="724" t="str">
        <f>IF(B220&lt;&gt;"",IF(AND(B220&gt;=_TM1,B220&lt;=_TM2,OR(TH!L220="1111",TH!M220="1111")),TH!D220,""),"")</f>
        <v/>
      </c>
      <c r="B220" s="36">
        <f t="shared" si="13"/>
        <v>12</v>
      </c>
      <c r="C220" s="185">
        <f t="shared" si="14"/>
        <v>41268</v>
      </c>
      <c r="D220" s="178" t="s">
        <v>473</v>
      </c>
      <c r="E220" s="178">
        <v>41268</v>
      </c>
      <c r="F220" s="183" t="s">
        <v>476</v>
      </c>
      <c r="G220" s="731" t="s">
        <v>374</v>
      </c>
      <c r="H220" s="187" t="s">
        <v>484</v>
      </c>
      <c r="I220" s="247"/>
      <c r="J220" s="247"/>
      <c r="K220" s="505">
        <v>19077784</v>
      </c>
      <c r="L220" s="506" t="s">
        <v>24</v>
      </c>
      <c r="M220" s="506" t="s">
        <v>252</v>
      </c>
      <c r="N220" s="49" t="str">
        <f>IF(AND('331-CT'!$E$7=TH!H220,OR(L220="331",M220="331")),"331",IF(AND(OR(L220="131",M220="131"),H220='131-CT'!$E$7),"131",""))</f>
        <v/>
      </c>
      <c r="O220" s="49" t="str">
        <f>IF(AND($B220&gt;='111'!$N$11,$B220&lt;='111'!$O$11,OR($L220=$O$7,$M220=$O$7)),"x","")</f>
        <v/>
      </c>
      <c r="P220" s="49" t="str">
        <f>IF(AND($L220=$O$7,$B220&lt;'111'!$N$11),"x","")</f>
        <v/>
      </c>
      <c r="Q220" s="49" t="str">
        <f>IF(AND($M220=$O$7,$B220&lt;'111'!$N$11),"x","")</f>
        <v/>
      </c>
      <c r="R220" s="49" t="str">
        <f>IF(ISERROR(FIND('112'!$M$9,G220,1)),"",IF((AND(FIND('112'!$M$9,G220,1)&gt;=1,$B220&gt;='112'!$N$8,$B220&lt;='112'!$O$8,OR($L220='112'!$I$6,$M220='112'!$I$6))),"x",""))</f>
        <v>x</v>
      </c>
      <c r="S220" s="49" t="str">
        <f>IF(ISERROR(FIND('112'!$M$9,G220,1)),"",IF((AND(LEFT(G220,2)=LEFT('112'!$M$9,2),B220&lt;'112'!$N$8,$L220='112'!$I$6)),"x",""))</f>
        <v/>
      </c>
      <c r="T220" s="49" t="str">
        <f>IF(ISERROR(FIND('112'!$M$9,G220,1)),"",IF((AND(RIGHT(G220,2)=RIGHT('112'!$M$9,2),B220&lt;'112'!$N$8,$M220='112'!$I$6)),"x",""))</f>
        <v/>
      </c>
      <c r="U220" s="49" t="str">
        <f>IF(AND(L220="154",'154'!$O$5&lt;=B220,'154'!$P$5&gt;=B220),"154",IF(AND(L220="632",'632'!$L$5&lt;=B220,'632'!$M$5&gt;=B220),"632",IF(AND(L220="642",'642'!$N$5&lt;=B220,'642'!$O$5&gt;=B220),"642",IF(AND(L220="641",'641'!$N$5&lt;=B220,'641'!$O$5&gt;=B220),"641",""))))</f>
        <v/>
      </c>
      <c r="V220" s="49" t="str">
        <f>IF(OR(TH!L220=TH!$V$7,M220=TH!$V$7),"x","")</f>
        <v/>
      </c>
      <c r="W220" s="49" t="str">
        <f>IF(AND(B220&gt;='IN-NX'!$P$3,B220&lt;='IN-NX'!$Q$3,'IN-NX'!$D$7=D220,OR(LEFT(L220,2)="15",AND(LEFT(M220,2)&lt;&gt;"15",LEFT(M220,2)&lt;&gt;"33"))),"x","")</f>
        <v/>
      </c>
      <c r="X220" s="49" t="str">
        <f>IF(AND(OR(LEFT(TH!L220,2)="15",LEFT(TH!M220,2)="15"),'152-CT'!$J$8=TH!F220),"x","")</f>
        <v/>
      </c>
      <c r="Y220" s="49" t="str">
        <f>IF(AND(OR(LEFT(TH!L220,2)="15",LEFT(TH!M220,2)="15"),TK!$E$7=TH!F220),"x","")</f>
        <v/>
      </c>
      <c r="Z220" s="49" t="str">
        <f>IF(AND(B220&lt;=NKC!$N$8,B220&gt;=NKC!$M$8),"x","")</f>
        <v/>
      </c>
      <c r="AA220" s="723"/>
      <c r="AB220" s="497"/>
      <c r="AC220" s="497"/>
      <c r="AD220" s="497"/>
    </row>
    <row r="221" spans="1:30" s="199" customFormat="1" ht="15.75" hidden="1" customHeight="1">
      <c r="A221" s="724" t="str">
        <f>IF(B221&lt;&gt;"",IF(AND(B221&gt;=_TM1,B221&lt;=_TM2,OR(TH!L221="1111",TH!M221="1111")),TH!D221,""),"")</f>
        <v/>
      </c>
      <c r="B221" s="36">
        <f t="shared" si="13"/>
        <v>12</v>
      </c>
      <c r="C221" s="185">
        <f t="shared" si="14"/>
        <v>41268</v>
      </c>
      <c r="D221" s="178" t="s">
        <v>612</v>
      </c>
      <c r="E221" s="185">
        <v>41268</v>
      </c>
      <c r="F221" s="186" t="s">
        <v>584</v>
      </c>
      <c r="G221" s="732" t="s">
        <v>585</v>
      </c>
      <c r="H221" s="187" t="s">
        <v>484</v>
      </c>
      <c r="I221" s="247">
        <v>40</v>
      </c>
      <c r="J221" s="247">
        <v>38150</v>
      </c>
      <c r="K221" s="505">
        <f>ROUND(I221*J221,0)</f>
        <v>1526000</v>
      </c>
      <c r="L221" s="506" t="s">
        <v>252</v>
      </c>
      <c r="M221" s="506" t="s">
        <v>164</v>
      </c>
      <c r="N221" s="49" t="str">
        <f>IF(AND('331-CT'!$E$7=TH!H221,OR(L221="331",M221="331")),"331",IF(AND(OR(L221="131",M221="131"),H221='131-CT'!$E$7),"131",""))</f>
        <v/>
      </c>
      <c r="O221" s="49" t="str">
        <f>IF(AND($B221&gt;='111'!$N$11,$B221&lt;='111'!$O$11,OR($L221=$O$7,$M221=$O$7)),"x","")</f>
        <v/>
      </c>
      <c r="P221" s="49" t="str">
        <f>IF(AND($L221=$O$7,$B221&lt;'111'!$N$11),"x","")</f>
        <v/>
      </c>
      <c r="Q221" s="49" t="str">
        <f>IF(AND($M221=$O$7,$B221&lt;'111'!$N$11),"x","")</f>
        <v/>
      </c>
      <c r="R221" s="49" t="str">
        <f>IF(ISERROR(FIND('112'!$M$9,G221,1)),"",IF((AND(FIND('112'!$M$9,G221,1)&gt;=1,$B221&gt;='112'!$N$8,$B221&lt;='112'!$O$8,OR($L221='112'!$I$6,$M221='112'!$I$6))),"x",""))</f>
        <v/>
      </c>
      <c r="S221" s="49" t="str">
        <f>IF(ISERROR(FIND('112'!$M$9,G221,1)),"",IF((AND(LEFT(G221,2)=LEFT('112'!$M$9,2),B221&lt;'112'!$N$8,$L221='112'!$I$6)),"x",""))</f>
        <v/>
      </c>
      <c r="T221" s="49" t="str">
        <f>IF(ISERROR(FIND('112'!$M$9,G221,1)),"",IF((AND(RIGHT(G221,2)=RIGHT('112'!$M$9,2),B221&lt;'112'!$N$8,$M221='112'!$I$6)),"x",""))</f>
        <v/>
      </c>
      <c r="U221" s="49" t="str">
        <f>IF(AND(L221="154",'154'!$O$5&lt;=B221,'154'!$P$5&gt;=B221),"154",IF(AND(L221="632",'632'!$L$5&lt;=B221,'632'!$M$5&gt;=B221),"632",IF(AND(L221="642",'642'!$N$5&lt;=B221,'642'!$O$5&gt;=B221),"642",IF(AND(L221="641",'641'!$N$5&lt;=B221,'641'!$O$5&gt;=B221),"641",""))))</f>
        <v/>
      </c>
      <c r="V221" s="49" t="str">
        <f>IF(OR(TH!L221=TH!$V$7,M221=TH!$V$7),"x","")</f>
        <v/>
      </c>
      <c r="W221" s="49" t="str">
        <f>IF(AND(B221&gt;='IN-NX'!$P$3,B221&lt;='IN-NX'!$Q$3,'IN-NX'!$D$7=D221,OR(LEFT(L221,2)="15",AND(LEFT(M221,2)&lt;&gt;"15",LEFT(M221,2)&lt;&gt;"33"))),"x","")</f>
        <v/>
      </c>
      <c r="X221" s="49" t="str">
        <f>IF(AND(OR(LEFT(TH!L221,2)="15",LEFT(TH!M221,2)="15"),'152-CT'!$J$8=TH!F221),"x","")</f>
        <v/>
      </c>
      <c r="Y221" s="49" t="str">
        <f>IF(AND(OR(LEFT(TH!L221,2)="15",LEFT(TH!M221,2)="15"),TK!$E$7=TH!F221),"x","")</f>
        <v/>
      </c>
      <c r="Z221" s="49" t="str">
        <f>IF(AND(B221&lt;=NKC!$N$8,B221&gt;=NKC!$M$8),"x","")</f>
        <v/>
      </c>
      <c r="AA221" s="723"/>
      <c r="AB221" s="497"/>
    </row>
    <row r="222" spans="1:30" s="199" customFormat="1" ht="15.75" hidden="1" customHeight="1">
      <c r="A222" s="724" t="str">
        <f>IF(B222&lt;&gt;"",IF(AND(B222&gt;=_TM1,B222&lt;=_TM2,OR(TH!L222="1111",TH!M222="1111")),TH!D222,""),"")</f>
        <v/>
      </c>
      <c r="B222" s="36">
        <f t="shared" si="13"/>
        <v>12</v>
      </c>
      <c r="C222" s="185">
        <f t="shared" si="14"/>
        <v>41268</v>
      </c>
      <c r="D222" s="178" t="s">
        <v>612</v>
      </c>
      <c r="E222" s="185">
        <v>41268</v>
      </c>
      <c r="F222" s="186" t="s">
        <v>538</v>
      </c>
      <c r="G222" s="732" t="s">
        <v>585</v>
      </c>
      <c r="H222" s="187" t="s">
        <v>484</v>
      </c>
      <c r="I222" s="247"/>
      <c r="J222" s="247"/>
      <c r="K222" s="505">
        <v>152600</v>
      </c>
      <c r="L222" s="506" t="s">
        <v>252</v>
      </c>
      <c r="M222" s="506" t="s">
        <v>297</v>
      </c>
      <c r="N222" s="49" t="str">
        <f>IF(AND('331-CT'!$E$7=TH!H222,OR(L222="331",M222="331")),"331",IF(AND(OR(L222="131",M222="131"),H222='131-CT'!$E$7),"131",""))</f>
        <v/>
      </c>
      <c r="O222" s="49" t="str">
        <f>IF(AND($B222&gt;='111'!$N$11,$B222&lt;='111'!$O$11,OR($L222=$O$7,$M222=$O$7)),"x","")</f>
        <v/>
      </c>
      <c r="P222" s="49" t="str">
        <f>IF(AND($L222=$O$7,$B222&lt;'111'!$N$11),"x","")</f>
        <v/>
      </c>
      <c r="Q222" s="49" t="str">
        <f>IF(AND($M222=$O$7,$B222&lt;'111'!$N$11),"x","")</f>
        <v/>
      </c>
      <c r="R222" s="49" t="str">
        <f>IF(ISERROR(FIND('112'!$M$9,G222,1)),"",IF((AND(FIND('112'!$M$9,G222,1)&gt;=1,$B222&gt;='112'!$N$8,$B222&lt;='112'!$O$8,OR($L222='112'!$I$6,$M222='112'!$I$6))),"x",""))</f>
        <v/>
      </c>
      <c r="S222" s="49" t="str">
        <f>IF(ISERROR(FIND('112'!$M$9,G222,1)),"",IF((AND(LEFT(G222,2)=LEFT('112'!$M$9,2),B222&lt;'112'!$N$8,$L222='112'!$I$6)),"x",""))</f>
        <v/>
      </c>
      <c r="T222" s="49" t="str">
        <f>IF(ISERROR(FIND('112'!$M$9,G222,1)),"",IF((AND(RIGHT(G222,2)=RIGHT('112'!$M$9,2),B222&lt;'112'!$N$8,$M222='112'!$I$6)),"x",""))</f>
        <v/>
      </c>
      <c r="U222" s="49" t="str">
        <f>IF(AND(L222="154",'154'!$O$5&lt;=B222,'154'!$P$5&gt;=B222),"154",IF(AND(L222="632",'632'!$L$5&lt;=B222,'632'!$M$5&gt;=B222),"632",IF(AND(L222="642",'642'!$N$5&lt;=B222,'642'!$O$5&gt;=B222),"642",IF(AND(L222="641",'641'!$N$5&lt;=B222,'641'!$O$5&gt;=B222),"641",""))))</f>
        <v/>
      </c>
      <c r="V222" s="49" t="str">
        <f>IF(OR(TH!L222=TH!$V$7,M222=TH!$V$7),"x","")</f>
        <v/>
      </c>
      <c r="W222" s="49" t="str">
        <f>IF(AND(B222&gt;='IN-NX'!$P$3,B222&lt;='IN-NX'!$Q$3,'IN-NX'!$D$7=D222,OR(LEFT(L222,2)="15",AND(LEFT(M222,2)&lt;&gt;"15",LEFT(M222,2)&lt;&gt;"33"))),"x","")</f>
        <v/>
      </c>
      <c r="X222" s="49" t="str">
        <f>IF(AND(OR(LEFT(TH!L222,2)="15",LEFT(TH!M222,2)="15"),'152-CT'!$J$8=TH!F222),"x","")</f>
        <v/>
      </c>
      <c r="Y222" s="49" t="str">
        <f>IF(AND(OR(LEFT(TH!L222,2)="15",LEFT(TH!M222,2)="15"),TK!$E$7=TH!F222),"x","")</f>
        <v/>
      </c>
      <c r="Z222" s="49" t="str">
        <f>IF(AND(B222&lt;=NKC!$N$8,B222&gt;=NKC!$M$8),"x","")</f>
        <v/>
      </c>
      <c r="AA222" s="723"/>
      <c r="AB222" s="497"/>
    </row>
    <row r="223" spans="1:30" s="199" customFormat="1" ht="15.75" hidden="1" customHeight="1">
      <c r="A223" s="724" t="str">
        <f>IF(B223&lt;&gt;"",IF(AND(B223&gt;=_TM1,B223&lt;=_TM2,OR(TH!L223="1111",TH!M223="1111")),TH!D223,""),"")</f>
        <v>T16</v>
      </c>
      <c r="B223" s="36">
        <f t="shared" si="13"/>
        <v>12</v>
      </c>
      <c r="C223" s="185">
        <f t="shared" si="14"/>
        <v>41268</v>
      </c>
      <c r="D223" s="178" t="s">
        <v>624</v>
      </c>
      <c r="E223" s="185">
        <v>41268</v>
      </c>
      <c r="F223" s="186" t="s">
        <v>476</v>
      </c>
      <c r="G223" s="732" t="s">
        <v>585</v>
      </c>
      <c r="H223" s="187" t="s">
        <v>484</v>
      </c>
      <c r="I223" s="247"/>
      <c r="J223" s="247"/>
      <c r="K223" s="505">
        <v>1678600</v>
      </c>
      <c r="L223" s="506" t="s">
        <v>47</v>
      </c>
      <c r="M223" s="506" t="s">
        <v>252</v>
      </c>
      <c r="N223" s="49" t="str">
        <f>IF(AND('331-CT'!$E$7=TH!H223,OR(L223="331",M223="331")),"331",IF(AND(OR(L223="131",M223="131"),H223='131-CT'!$E$7),"131",""))</f>
        <v/>
      </c>
      <c r="O223" s="49" t="str">
        <f>IF(AND($B223&gt;='111'!$N$11,$B223&lt;='111'!$O$11,OR($L223=$O$7,$M223=$O$7)),"x","")</f>
        <v>x</v>
      </c>
      <c r="P223" s="49" t="str">
        <f>IF(AND($L223=$O$7,$B223&lt;'111'!$N$11),"x","")</f>
        <v/>
      </c>
      <c r="Q223" s="49" t="str">
        <f>IF(AND($M223=$O$7,$B223&lt;'111'!$N$11),"x","")</f>
        <v/>
      </c>
      <c r="R223" s="49" t="str">
        <f>IF(ISERROR(FIND('112'!$M$9,G223,1)),"",IF((AND(FIND('112'!$M$9,G223,1)&gt;=1,$B223&gt;='112'!$N$8,$B223&lt;='112'!$O$8,OR($L223='112'!$I$6,$M223='112'!$I$6))),"x",""))</f>
        <v/>
      </c>
      <c r="S223" s="49" t="str">
        <f>IF(ISERROR(FIND('112'!$M$9,G223,1)),"",IF((AND(LEFT(G223,2)=LEFT('112'!$M$9,2),B223&lt;'112'!$N$8,$L223='112'!$I$6)),"x",""))</f>
        <v/>
      </c>
      <c r="T223" s="49" t="str">
        <f>IF(ISERROR(FIND('112'!$M$9,G223,1)),"",IF((AND(RIGHT(G223,2)=RIGHT('112'!$M$9,2),B223&lt;'112'!$N$8,$M223='112'!$I$6)),"x",""))</f>
        <v/>
      </c>
      <c r="U223" s="49" t="str">
        <f>IF(AND(L223="154",'154'!$O$5&lt;=B223,'154'!$P$5&gt;=B223),"154",IF(AND(L223="632",'632'!$L$5&lt;=B223,'632'!$M$5&gt;=B223),"632",IF(AND(L223="642",'642'!$N$5&lt;=B223,'642'!$O$5&gt;=B223),"642",IF(AND(L223="641",'641'!$N$5&lt;=B223,'641'!$O$5&gt;=B223),"641",""))))</f>
        <v/>
      </c>
      <c r="V223" s="49" t="str">
        <f>IF(OR(TH!L223=TH!$V$7,M223=TH!$V$7),"x","")</f>
        <v/>
      </c>
      <c r="W223" s="49" t="str">
        <f>IF(AND(B223&gt;='IN-NX'!$P$3,B223&lt;='IN-NX'!$Q$3,'IN-NX'!$D$7=D223,OR(LEFT(L223,2)="15",AND(LEFT(M223,2)&lt;&gt;"15",LEFT(M223,2)&lt;&gt;"33"))),"x","")</f>
        <v/>
      </c>
      <c r="X223" s="49" t="str">
        <f>IF(AND(OR(LEFT(TH!L223,2)="15",LEFT(TH!M223,2)="15"),'152-CT'!$J$8=TH!F223),"x","")</f>
        <v/>
      </c>
      <c r="Y223" s="49" t="str">
        <f>IF(AND(OR(LEFT(TH!L223,2)="15",LEFT(TH!M223,2)="15"),TK!$E$7=TH!F223),"x","")</f>
        <v/>
      </c>
      <c r="Z223" s="49" t="str">
        <f>IF(AND(B223&lt;=NKC!$N$8,B223&gt;=NKC!$M$8),"x","")</f>
        <v/>
      </c>
      <c r="AA223" s="723"/>
      <c r="AB223" s="497"/>
    </row>
    <row r="224" spans="1:30" s="199" customFormat="1" ht="15.75" hidden="1" customHeight="1">
      <c r="A224" s="724" t="str">
        <f>IF(B224&lt;&gt;"",IF(AND(B224&gt;=_TM1,B224&lt;=_TM2,OR(TH!L224="1111",TH!M224="1111")),TH!D224,""),"")</f>
        <v>C28</v>
      </c>
      <c r="B224" s="36">
        <f t="shared" si="13"/>
        <v>12</v>
      </c>
      <c r="C224" s="185">
        <f t="shared" si="14"/>
        <v>41269</v>
      </c>
      <c r="D224" s="178" t="s">
        <v>526</v>
      </c>
      <c r="E224" s="178">
        <v>41269</v>
      </c>
      <c r="F224" s="183" t="s">
        <v>363</v>
      </c>
      <c r="G224" s="732" t="s">
        <v>462</v>
      </c>
      <c r="H224" s="187" t="s">
        <v>459</v>
      </c>
      <c r="I224" s="247"/>
      <c r="J224" s="247"/>
      <c r="K224" s="505">
        <v>3181818</v>
      </c>
      <c r="L224" s="188" t="s">
        <v>83</v>
      </c>
      <c r="M224" s="188" t="s">
        <v>47</v>
      </c>
      <c r="N224" s="49" t="str">
        <f>IF(AND('331-CT'!$E$7=TH!H224,OR(L224="331",M224="331")),"331",IF(AND(OR(L224="131",M224="131"),H224='131-CT'!$E$7),"131",""))</f>
        <v/>
      </c>
      <c r="O224" s="49" t="str">
        <f>IF(AND($B224&gt;='111'!$N$11,$B224&lt;='111'!$O$11,OR($L224=$O$7,$M224=$O$7)),"x","")</f>
        <v>x</v>
      </c>
      <c r="P224" s="49" t="str">
        <f>IF(AND($L224=$O$7,$B224&lt;'111'!$N$11),"x","")</f>
        <v/>
      </c>
      <c r="Q224" s="49" t="str">
        <f>IF(AND($M224=$O$7,$B224&lt;'111'!$N$11),"x","")</f>
        <v/>
      </c>
      <c r="R224" s="49" t="str">
        <f>IF(ISERROR(FIND('112'!$M$9,G224,1)),"",IF((AND(FIND('112'!$M$9,G224,1)&gt;=1,$B224&gt;='112'!$N$8,$B224&lt;='112'!$O$8,OR($L224='112'!$I$6,$M224='112'!$I$6))),"x",""))</f>
        <v/>
      </c>
      <c r="S224" s="49" t="str">
        <f>IF(ISERROR(FIND('112'!$M$9,G224,1)),"",IF((AND(LEFT(G224,2)=LEFT('112'!$M$9,2),B224&lt;'112'!$N$8,$L224='112'!$I$6)),"x",""))</f>
        <v/>
      </c>
      <c r="T224" s="49" t="str">
        <f>IF(ISERROR(FIND('112'!$M$9,G224,1)),"",IF((AND(RIGHT(G224,2)=RIGHT('112'!$M$9,2),B224&lt;'112'!$N$8,$M224='112'!$I$6)),"x",""))</f>
        <v/>
      </c>
      <c r="U224" s="49" t="str">
        <f>IF(AND(L224="154",'154'!$O$5&lt;=B224,'154'!$P$5&gt;=B224),"154",IF(AND(L224="632",'632'!$L$5&lt;=B224,'632'!$M$5&gt;=B224),"632",IF(AND(L224="642",'642'!$N$5&lt;=B224,'642'!$O$5&gt;=B224),"642",IF(AND(L224="641",'641'!$N$5&lt;=B224,'641'!$O$5&gt;=B224),"641",""))))</f>
        <v/>
      </c>
      <c r="V224" s="49" t="str">
        <f>IF(OR(TH!L224=TH!$V$7,M224=TH!$V$7),"x","")</f>
        <v/>
      </c>
      <c r="W224" s="49" t="str">
        <f>IF(AND(B224&gt;='IN-NX'!$P$3,B224&lt;='IN-NX'!$Q$3,'IN-NX'!$D$7=D224,OR(LEFT(L224,2)="15",AND(LEFT(M224,2)&lt;&gt;"15",LEFT(M224,2)&lt;&gt;"33"))),"x","")</f>
        <v/>
      </c>
      <c r="X224" s="49" t="str">
        <f>IF(AND(OR(LEFT(TH!L224,2)="15",LEFT(TH!M224,2)="15"),'152-CT'!$J$8=TH!F224),"x","")</f>
        <v/>
      </c>
      <c r="Y224" s="49" t="str">
        <f>IF(AND(OR(LEFT(TH!L224,2)="15",LEFT(TH!M224,2)="15"),TK!$E$7=TH!F224),"x","")</f>
        <v/>
      </c>
      <c r="Z224" s="49" t="str">
        <f>IF(AND(B224&lt;=NKC!$N$8,B224&gt;=NKC!$M$8),"x","")</f>
        <v/>
      </c>
      <c r="AA224" s="723"/>
      <c r="AB224" s="497"/>
      <c r="AD224" s="497"/>
    </row>
    <row r="225" spans="1:30" s="199" customFormat="1" ht="15.75" customHeight="1">
      <c r="A225" s="724" t="str">
        <f>IF(B225&lt;&gt;"",IF(AND(B225&gt;=_TM1,B225&lt;=_TM2,OR(TH!L225="1111",TH!M225="1111")),TH!D225,""),"")</f>
        <v>C28</v>
      </c>
      <c r="B225" s="36">
        <f t="shared" si="13"/>
        <v>12</v>
      </c>
      <c r="C225" s="185">
        <f t="shared" si="14"/>
        <v>41269</v>
      </c>
      <c r="D225" s="178" t="s">
        <v>526</v>
      </c>
      <c r="E225" s="178">
        <v>41269</v>
      </c>
      <c r="F225" s="183" t="s">
        <v>364</v>
      </c>
      <c r="G225" s="732" t="s">
        <v>462</v>
      </c>
      <c r="H225" s="187" t="s">
        <v>459</v>
      </c>
      <c r="I225" s="247"/>
      <c r="J225" s="247"/>
      <c r="K225" s="505">
        <v>318182</v>
      </c>
      <c r="L225" s="188" t="s">
        <v>9</v>
      </c>
      <c r="M225" s="188" t="s">
        <v>47</v>
      </c>
      <c r="N225" s="49" t="str">
        <f>IF(AND('331-CT'!$E$7=TH!H225,OR(L225="331",M225="331")),"331",IF(AND(OR(L225="131",M225="131"),H225='131-CT'!$E$7),"131",""))</f>
        <v/>
      </c>
      <c r="O225" s="49" t="str">
        <f>IF(AND($B225&gt;='111'!$N$11,$B225&lt;='111'!$O$11,OR($L225=$O$7,$M225=$O$7)),"x","")</f>
        <v>x</v>
      </c>
      <c r="P225" s="49" t="str">
        <f>IF(AND($L225=$O$7,$B225&lt;'111'!$N$11),"x","")</f>
        <v/>
      </c>
      <c r="Q225" s="49" t="str">
        <f>IF(AND($M225=$O$7,$B225&lt;'111'!$N$11),"x","")</f>
        <v/>
      </c>
      <c r="R225" s="49" t="str">
        <f>IF(ISERROR(FIND('112'!$M$9,G225,1)),"",IF((AND(FIND('112'!$M$9,G225,1)&gt;=1,$B225&gt;='112'!$N$8,$B225&lt;='112'!$O$8,OR($L225='112'!$I$6,$M225='112'!$I$6))),"x",""))</f>
        <v/>
      </c>
      <c r="S225" s="49" t="str">
        <f>IF(ISERROR(FIND('112'!$M$9,G225,1)),"",IF((AND(LEFT(G225,2)=LEFT('112'!$M$9,2),B225&lt;'112'!$N$8,$L225='112'!$I$6)),"x",""))</f>
        <v/>
      </c>
      <c r="T225" s="49" t="str">
        <f>IF(ISERROR(FIND('112'!$M$9,G225,1)),"",IF((AND(RIGHT(G225,2)=RIGHT('112'!$M$9,2),B225&lt;'112'!$N$8,$M225='112'!$I$6)),"x",""))</f>
        <v/>
      </c>
      <c r="U225" s="49" t="str">
        <f>IF(AND(L225="154",'154'!$O$5&lt;=B225,'154'!$P$5&gt;=B225),"154",IF(AND(L225="632",'632'!$L$5&lt;=B225,'632'!$M$5&gt;=B225),"632",IF(AND(L225="642",'642'!$N$5&lt;=B225,'642'!$O$5&gt;=B225),"642",IF(AND(L225="641",'641'!$N$5&lt;=B225,'641'!$O$5&gt;=B225),"641",""))))</f>
        <v/>
      </c>
      <c r="V225" s="49" t="str">
        <f>IF(OR(TH!L225=TH!$V$7,M225=TH!$V$7),"x","")</f>
        <v>x</v>
      </c>
      <c r="W225" s="49" t="str">
        <f>IF(AND(B225&gt;='IN-NX'!$P$3,B225&lt;='IN-NX'!$Q$3,'IN-NX'!$D$7=D225,OR(LEFT(L225,2)="15",AND(LEFT(M225,2)&lt;&gt;"15",LEFT(M225,2)&lt;&gt;"33"))),"x","")</f>
        <v/>
      </c>
      <c r="X225" s="49" t="str">
        <f>IF(AND(OR(LEFT(TH!L225,2)="15",LEFT(TH!M225,2)="15"),'152-CT'!$J$8=TH!F225),"x","")</f>
        <v/>
      </c>
      <c r="Y225" s="49" t="str">
        <f>IF(AND(OR(LEFT(TH!L225,2)="15",LEFT(TH!M225,2)="15"),TK!$E$7=TH!F225),"x","")</f>
        <v/>
      </c>
      <c r="Z225" s="49" t="str">
        <f>IF(AND(B225&lt;=NKC!$N$8,B225&gt;=NKC!$M$8),"x","")</f>
        <v/>
      </c>
      <c r="AA225" s="723">
        <v>12</v>
      </c>
      <c r="AD225" s="497"/>
    </row>
    <row r="226" spans="1:30" s="199" customFormat="1" ht="15.75" hidden="1" customHeight="1">
      <c r="A226" s="724" t="str">
        <f>IF(B226&lt;&gt;"",IF(AND(B226&gt;=_TM1,B226&lt;=_TM2,OR(TH!L226="1111",TH!M226="1111")),TH!D226,""),"")</f>
        <v/>
      </c>
      <c r="B226" s="36">
        <f t="shared" si="13"/>
        <v>12</v>
      </c>
      <c r="C226" s="185">
        <f t="shared" si="14"/>
        <v>41270</v>
      </c>
      <c r="D226" s="178" t="s">
        <v>613</v>
      </c>
      <c r="E226" s="185">
        <v>41270</v>
      </c>
      <c r="F226" s="186" t="s">
        <v>586</v>
      </c>
      <c r="G226" s="732" t="s">
        <v>587</v>
      </c>
      <c r="H226" s="187" t="s">
        <v>588</v>
      </c>
      <c r="I226" s="247">
        <v>60</v>
      </c>
      <c r="J226" s="247">
        <v>88860</v>
      </c>
      <c r="K226" s="505">
        <f>ROUND(I226*J226,0)</f>
        <v>5331600</v>
      </c>
      <c r="L226" s="506" t="s">
        <v>252</v>
      </c>
      <c r="M226" s="506" t="s">
        <v>164</v>
      </c>
      <c r="N226" s="49" t="str">
        <f>IF(AND('331-CT'!$E$7=TH!H226,OR(L226="331",M226="331")),"331",IF(AND(OR(L226="131",M226="131"),H226='131-CT'!$E$7),"131",""))</f>
        <v/>
      </c>
      <c r="O226" s="49" t="str">
        <f>IF(AND($B226&gt;='111'!$N$11,$B226&lt;='111'!$O$11,OR($L226=$O$7,$M226=$O$7)),"x","")</f>
        <v/>
      </c>
      <c r="P226" s="49" t="str">
        <f>IF(AND($L226=$O$7,$B226&lt;'111'!$N$11),"x","")</f>
        <v/>
      </c>
      <c r="Q226" s="49" t="str">
        <f>IF(AND($M226=$O$7,$B226&lt;'111'!$N$11),"x","")</f>
        <v/>
      </c>
      <c r="R226" s="49" t="str">
        <f>IF(ISERROR(FIND('112'!$M$9,G226,1)),"",IF((AND(FIND('112'!$M$9,G226,1)&gt;=1,$B226&gt;='112'!$N$8,$B226&lt;='112'!$O$8,OR($L226='112'!$I$6,$M226='112'!$I$6))),"x",""))</f>
        <v/>
      </c>
      <c r="S226" s="49" t="str">
        <f>IF(ISERROR(FIND('112'!$M$9,G226,1)),"",IF((AND(LEFT(G226,2)=LEFT('112'!$M$9,2),B226&lt;'112'!$N$8,$L226='112'!$I$6)),"x",""))</f>
        <v/>
      </c>
      <c r="T226" s="49" t="str">
        <f>IF(ISERROR(FIND('112'!$M$9,G226,1)),"",IF((AND(RIGHT(G226,2)=RIGHT('112'!$M$9,2),B226&lt;'112'!$N$8,$M226='112'!$I$6)),"x",""))</f>
        <v/>
      </c>
      <c r="U226" s="49" t="str">
        <f>IF(AND(L226="154",'154'!$O$5&lt;=B226,'154'!$P$5&gt;=B226),"154",IF(AND(L226="632",'632'!$L$5&lt;=B226,'632'!$M$5&gt;=B226),"632",IF(AND(L226="642",'642'!$N$5&lt;=B226,'642'!$O$5&gt;=B226),"642",IF(AND(L226="641",'641'!$N$5&lt;=B226,'641'!$O$5&gt;=B226),"641",""))))</f>
        <v/>
      </c>
      <c r="V226" s="49" t="str">
        <f>IF(OR(TH!L226=TH!$V$7,M226=TH!$V$7),"x","")</f>
        <v/>
      </c>
      <c r="W226" s="49" t="str">
        <f>IF(AND(B226&gt;='IN-NX'!$P$3,B226&lt;='IN-NX'!$Q$3,'IN-NX'!$D$7=D226,OR(LEFT(L226,2)="15",AND(LEFT(M226,2)&lt;&gt;"15",LEFT(M226,2)&lt;&gt;"33"))),"x","")</f>
        <v/>
      </c>
      <c r="X226" s="49" t="str">
        <f>IF(AND(OR(LEFT(TH!L226,2)="15",LEFT(TH!M226,2)="15"),'152-CT'!$J$8=TH!F226),"x","")</f>
        <v/>
      </c>
      <c r="Y226" s="49" t="str">
        <f>IF(AND(OR(LEFT(TH!L226,2)="15",LEFT(TH!M226,2)="15"),TK!$E$7=TH!F226),"x","")</f>
        <v/>
      </c>
      <c r="Z226" s="49" t="str">
        <f>IF(AND(B226&lt;=NKC!$N$8,B226&gt;=NKC!$M$8),"x","")</f>
        <v/>
      </c>
      <c r="AA226" s="723"/>
      <c r="AB226" s="497"/>
    </row>
    <row r="227" spans="1:30" s="199" customFormat="1" ht="15.75" hidden="1" customHeight="1">
      <c r="A227" s="724" t="str">
        <f>IF(B227&lt;&gt;"",IF(AND(B227&gt;=_TM1,B227&lt;=_TM2,OR(TH!L227="1111",TH!M227="1111")),TH!D227,""),"")</f>
        <v/>
      </c>
      <c r="B227" s="36">
        <f t="shared" si="13"/>
        <v>12</v>
      </c>
      <c r="C227" s="185">
        <f t="shared" si="14"/>
        <v>41270</v>
      </c>
      <c r="D227" s="178" t="s">
        <v>613</v>
      </c>
      <c r="E227" s="185">
        <v>41270</v>
      </c>
      <c r="F227" s="186" t="s">
        <v>538</v>
      </c>
      <c r="G227" s="732" t="s">
        <v>587</v>
      </c>
      <c r="H227" s="187" t="s">
        <v>588</v>
      </c>
      <c r="I227" s="247"/>
      <c r="J227" s="247"/>
      <c r="K227" s="505">
        <v>533160</v>
      </c>
      <c r="L227" s="506" t="s">
        <v>252</v>
      </c>
      <c r="M227" s="506" t="s">
        <v>297</v>
      </c>
      <c r="N227" s="49" t="str">
        <f>IF(AND('331-CT'!$E$7=TH!H227,OR(L227="331",M227="331")),"331",IF(AND(OR(L227="131",M227="131"),H227='131-CT'!$E$7),"131",""))</f>
        <v/>
      </c>
      <c r="O227" s="49" t="str">
        <f>IF(AND($B227&gt;='111'!$N$11,$B227&lt;='111'!$O$11,OR($L227=$O$7,$M227=$O$7)),"x","")</f>
        <v/>
      </c>
      <c r="P227" s="49" t="str">
        <f>IF(AND($L227=$O$7,$B227&lt;'111'!$N$11),"x","")</f>
        <v/>
      </c>
      <c r="Q227" s="49" t="str">
        <f>IF(AND($M227=$O$7,$B227&lt;'111'!$N$11),"x","")</f>
        <v/>
      </c>
      <c r="R227" s="49" t="str">
        <f>IF(ISERROR(FIND('112'!$M$9,G227,1)),"",IF((AND(FIND('112'!$M$9,G227,1)&gt;=1,$B227&gt;='112'!$N$8,$B227&lt;='112'!$O$8,OR($L227='112'!$I$6,$M227='112'!$I$6))),"x",""))</f>
        <v/>
      </c>
      <c r="S227" s="49" t="str">
        <f>IF(ISERROR(FIND('112'!$M$9,G227,1)),"",IF((AND(LEFT(G227,2)=LEFT('112'!$M$9,2),B227&lt;'112'!$N$8,$L227='112'!$I$6)),"x",""))</f>
        <v/>
      </c>
      <c r="T227" s="49" t="str">
        <f>IF(ISERROR(FIND('112'!$M$9,G227,1)),"",IF((AND(RIGHT(G227,2)=RIGHT('112'!$M$9,2),B227&lt;'112'!$N$8,$M227='112'!$I$6)),"x",""))</f>
        <v/>
      </c>
      <c r="U227" s="49" t="str">
        <f>IF(AND(L227="154",'154'!$O$5&lt;=B227,'154'!$P$5&gt;=B227),"154",IF(AND(L227="632",'632'!$L$5&lt;=B227,'632'!$M$5&gt;=B227),"632",IF(AND(L227="642",'642'!$N$5&lt;=B227,'642'!$O$5&gt;=B227),"642",IF(AND(L227="641",'641'!$N$5&lt;=B227,'641'!$O$5&gt;=B227),"641",""))))</f>
        <v/>
      </c>
      <c r="V227" s="49" t="str">
        <f>IF(OR(TH!L227=TH!$V$7,M227=TH!$V$7),"x","")</f>
        <v/>
      </c>
      <c r="W227" s="49" t="str">
        <f>IF(AND(B227&gt;='IN-NX'!$P$3,B227&lt;='IN-NX'!$Q$3,'IN-NX'!$D$7=D227,OR(LEFT(L227,2)="15",AND(LEFT(M227,2)&lt;&gt;"15",LEFT(M227,2)&lt;&gt;"33"))),"x","")</f>
        <v/>
      </c>
      <c r="X227" s="49" t="str">
        <f>IF(AND(OR(LEFT(TH!L227,2)="15",LEFT(TH!M227,2)="15"),'152-CT'!$J$8=TH!F227),"x","")</f>
        <v/>
      </c>
      <c r="Y227" s="49" t="str">
        <f>IF(AND(OR(LEFT(TH!L227,2)="15",LEFT(TH!M227,2)="15"),TK!$E$7=TH!F227),"x","")</f>
        <v/>
      </c>
      <c r="Z227" s="49" t="str">
        <f>IF(AND(B227&lt;=NKC!$N$8,B227&gt;=NKC!$M$8),"x","")</f>
        <v/>
      </c>
      <c r="AA227" s="723"/>
      <c r="AB227" s="497"/>
      <c r="AC227" s="497"/>
      <c r="AD227" s="497"/>
    </row>
    <row r="228" spans="1:30" s="199" customFormat="1" ht="15.75" hidden="1" customHeight="1">
      <c r="A228" s="724" t="str">
        <f>IF(B228&lt;&gt;"",IF(AND(B228&gt;=_TM1,B228&lt;=_TM2,OR(TH!L228="1111",TH!M228="1111")),TH!D228,""),"")</f>
        <v>T17</v>
      </c>
      <c r="B228" s="36">
        <f t="shared" si="13"/>
        <v>12</v>
      </c>
      <c r="C228" s="185">
        <f t="shared" si="14"/>
        <v>41270</v>
      </c>
      <c r="D228" s="178" t="s">
        <v>625</v>
      </c>
      <c r="E228" s="185">
        <v>41270</v>
      </c>
      <c r="F228" s="186" t="s">
        <v>476</v>
      </c>
      <c r="G228" s="732" t="s">
        <v>587</v>
      </c>
      <c r="H228" s="187" t="s">
        <v>588</v>
      </c>
      <c r="I228" s="247"/>
      <c r="J228" s="247"/>
      <c r="K228" s="505">
        <v>5864760</v>
      </c>
      <c r="L228" s="506" t="s">
        <v>47</v>
      </c>
      <c r="M228" s="506" t="s">
        <v>252</v>
      </c>
      <c r="N228" s="49" t="str">
        <f>IF(AND('331-CT'!$E$7=TH!H228,OR(L228="331",M228="331")),"331",IF(AND(OR(L228="131",M228="131"),H228='131-CT'!$E$7),"131",""))</f>
        <v/>
      </c>
      <c r="O228" s="49" t="str">
        <f>IF(AND($B228&gt;='111'!$N$11,$B228&lt;='111'!$O$11,OR($L228=$O$7,$M228=$O$7)),"x","")</f>
        <v>x</v>
      </c>
      <c r="P228" s="49" t="str">
        <f>IF(AND($L228=$O$7,$B228&lt;'111'!$N$11),"x","")</f>
        <v/>
      </c>
      <c r="Q228" s="49" t="str">
        <f>IF(AND($M228=$O$7,$B228&lt;'111'!$N$11),"x","")</f>
        <v/>
      </c>
      <c r="R228" s="49" t="str">
        <f>IF(ISERROR(FIND('112'!$M$9,G228,1)),"",IF((AND(FIND('112'!$M$9,G228,1)&gt;=1,$B228&gt;='112'!$N$8,$B228&lt;='112'!$O$8,OR($L228='112'!$I$6,$M228='112'!$I$6))),"x",""))</f>
        <v/>
      </c>
      <c r="S228" s="49" t="str">
        <f>IF(ISERROR(FIND('112'!$M$9,G228,1)),"",IF((AND(LEFT(G228,2)=LEFT('112'!$M$9,2),B228&lt;'112'!$N$8,$L228='112'!$I$6)),"x",""))</f>
        <v/>
      </c>
      <c r="T228" s="49" t="str">
        <f>IF(ISERROR(FIND('112'!$M$9,G228,1)),"",IF((AND(RIGHT(G228,2)=RIGHT('112'!$M$9,2),B228&lt;'112'!$N$8,$M228='112'!$I$6)),"x",""))</f>
        <v/>
      </c>
      <c r="U228" s="49" t="str">
        <f>IF(AND(L228="154",'154'!$O$5&lt;=B228,'154'!$P$5&gt;=B228),"154",IF(AND(L228="632",'632'!$L$5&lt;=B228,'632'!$M$5&gt;=B228),"632",IF(AND(L228="642",'642'!$N$5&lt;=B228,'642'!$O$5&gt;=B228),"642",IF(AND(L228="641",'641'!$N$5&lt;=B228,'641'!$O$5&gt;=B228),"641",""))))</f>
        <v/>
      </c>
      <c r="V228" s="49" t="str">
        <f>IF(OR(TH!L228=TH!$V$7,M228=TH!$V$7),"x","")</f>
        <v/>
      </c>
      <c r="W228" s="49" t="str">
        <f>IF(AND(B228&gt;='IN-NX'!$P$3,B228&lt;='IN-NX'!$Q$3,'IN-NX'!$D$7=D228,OR(LEFT(L228,2)="15",AND(LEFT(M228,2)&lt;&gt;"15",LEFT(M228,2)&lt;&gt;"33"))),"x","")</f>
        <v/>
      </c>
      <c r="X228" s="49" t="str">
        <f>IF(AND(OR(LEFT(TH!L228,2)="15",LEFT(TH!M228,2)="15"),'152-CT'!$J$8=TH!F228),"x","")</f>
        <v/>
      </c>
      <c r="Y228" s="49" t="str">
        <f>IF(AND(OR(LEFT(TH!L228,2)="15",LEFT(TH!M228,2)="15"),TK!$E$7=TH!F228),"x","")</f>
        <v/>
      </c>
      <c r="Z228" s="49" t="str">
        <f>IF(AND(B228&lt;=NKC!$N$8,B228&gt;=NKC!$M$8),"x","")</f>
        <v/>
      </c>
      <c r="AA228" s="723"/>
      <c r="AB228" s="497"/>
      <c r="AC228" s="497"/>
      <c r="AD228" s="497"/>
    </row>
    <row r="229" spans="1:30" s="199" customFormat="1" ht="15.75" hidden="1" customHeight="1">
      <c r="A229" s="724" t="str">
        <f>IF(B229&lt;&gt;"",IF(AND(B229&gt;=_TM1,B229&lt;=_TM2,OR(TH!L229="1111",TH!M229="1111")),TH!D229,""),"")</f>
        <v>T18</v>
      </c>
      <c r="B229" s="36">
        <f t="shared" si="13"/>
        <v>12</v>
      </c>
      <c r="C229" s="185">
        <f t="shared" si="14"/>
        <v>41271</v>
      </c>
      <c r="D229" s="178" t="s">
        <v>626</v>
      </c>
      <c r="E229" s="178">
        <v>41271</v>
      </c>
      <c r="F229" s="183" t="s">
        <v>478</v>
      </c>
      <c r="G229" s="731" t="s">
        <v>374</v>
      </c>
      <c r="H229" s="187" t="s">
        <v>483</v>
      </c>
      <c r="I229" s="247"/>
      <c r="J229" s="247"/>
      <c r="K229" s="505">
        <v>19000000</v>
      </c>
      <c r="L229" s="506" t="s">
        <v>47</v>
      </c>
      <c r="M229" s="506" t="s">
        <v>24</v>
      </c>
      <c r="N229" s="49" t="str">
        <f>IF(AND('331-CT'!$E$7=TH!H229,OR(L229="331",M229="331")),"331",IF(AND(OR(L229="131",M229="131"),H229='131-CT'!$E$7),"131",""))</f>
        <v/>
      </c>
      <c r="O229" s="49" t="str">
        <f>IF(AND($B229&gt;='111'!$N$11,$B229&lt;='111'!$O$11,OR($L229=$O$7,$M229=$O$7)),"x","")</f>
        <v>x</v>
      </c>
      <c r="P229" s="49" t="str">
        <f>IF(AND($L229=$O$7,$B229&lt;'111'!$N$11),"x","")</f>
        <v/>
      </c>
      <c r="Q229" s="49" t="str">
        <f>IF(AND($M229=$O$7,$B229&lt;'111'!$N$11),"x","")</f>
        <v/>
      </c>
      <c r="R229" s="49" t="str">
        <f>IF(ISERROR(FIND('112'!$M$9,G229,1)),"",IF((AND(FIND('112'!$M$9,G229,1)&gt;=1,$B229&gt;='112'!$N$8,$B229&lt;='112'!$O$8,OR($L229='112'!$I$6,$M229='112'!$I$6))),"x",""))</f>
        <v>x</v>
      </c>
      <c r="S229" s="49" t="str">
        <f>IF(ISERROR(FIND('112'!$M$9,G229,1)),"",IF((AND(LEFT(G229,2)=LEFT('112'!$M$9,2),B229&lt;'112'!$N$8,$L229='112'!$I$6)),"x",""))</f>
        <v/>
      </c>
      <c r="T229" s="49" t="str">
        <f>IF(ISERROR(FIND('112'!$M$9,G229,1)),"",IF((AND(RIGHT(G229,2)=RIGHT('112'!$M$9,2),B229&lt;'112'!$N$8,$M229='112'!$I$6)),"x",""))</f>
        <v/>
      </c>
      <c r="U229" s="49" t="str">
        <f>IF(AND(L229="154",'154'!$O$5&lt;=B229,'154'!$P$5&gt;=B229),"154",IF(AND(L229="632",'632'!$L$5&lt;=B229,'632'!$M$5&gt;=B229),"632",IF(AND(L229="642",'642'!$N$5&lt;=B229,'642'!$O$5&gt;=B229),"642",IF(AND(L229="641",'641'!$N$5&lt;=B229,'641'!$O$5&gt;=B229),"641",""))))</f>
        <v/>
      </c>
      <c r="V229" s="49" t="str">
        <f>IF(OR(TH!L229=TH!$V$7,M229=TH!$V$7),"x","")</f>
        <v/>
      </c>
      <c r="W229" s="49" t="str">
        <f>IF(AND(B229&gt;='IN-NX'!$P$3,B229&lt;='IN-NX'!$Q$3,'IN-NX'!$D$7=D229,OR(LEFT(L229,2)="15",AND(LEFT(M229,2)&lt;&gt;"15",LEFT(M229,2)&lt;&gt;"33"))),"x","")</f>
        <v/>
      </c>
      <c r="X229" s="49" t="str">
        <f>IF(AND(OR(LEFT(TH!L229,2)="15",LEFT(TH!M229,2)="15"),'152-CT'!$J$8=TH!F229),"x","")</f>
        <v/>
      </c>
      <c r="Y229" s="49" t="str">
        <f>IF(AND(OR(LEFT(TH!L229,2)="15",LEFT(TH!M229,2)="15"),TK!$E$7=TH!F229),"x","")</f>
        <v/>
      </c>
      <c r="Z229" s="49" t="str">
        <f>IF(AND(B229&lt;=NKC!$N$8,B229&gt;=NKC!$M$8),"x","")</f>
        <v/>
      </c>
      <c r="AA229" s="723"/>
      <c r="AB229" s="497"/>
      <c r="AC229" s="497"/>
      <c r="AD229" s="497"/>
    </row>
    <row r="230" spans="1:30" s="199" customFormat="1" ht="15.75" hidden="1" customHeight="1">
      <c r="A230" s="724" t="str">
        <f>IF(B230&lt;&gt;"",IF(AND(B230&gt;=_TM1,B230&lt;=_TM2,OR(TH!L230="1111",TH!M230="1111")),TH!D230,""),"")</f>
        <v>C29</v>
      </c>
      <c r="B230" s="36">
        <f t="shared" si="13"/>
        <v>12</v>
      </c>
      <c r="C230" s="185">
        <f t="shared" si="14"/>
        <v>41271</v>
      </c>
      <c r="D230" s="178" t="s">
        <v>528</v>
      </c>
      <c r="E230" s="178">
        <v>41271</v>
      </c>
      <c r="F230" s="183" t="s">
        <v>363</v>
      </c>
      <c r="G230" s="732" t="s">
        <v>461</v>
      </c>
      <c r="H230" s="187" t="s">
        <v>459</v>
      </c>
      <c r="I230" s="247"/>
      <c r="J230" s="247"/>
      <c r="K230" s="505">
        <v>3363636</v>
      </c>
      <c r="L230" s="188" t="s">
        <v>83</v>
      </c>
      <c r="M230" s="188" t="s">
        <v>47</v>
      </c>
      <c r="N230" s="49" t="str">
        <f>IF(AND('331-CT'!$E$7=TH!H230,OR(L230="331",M230="331")),"331",IF(AND(OR(L230="131",M230="131"),H230='131-CT'!$E$7),"131",""))</f>
        <v/>
      </c>
      <c r="O230" s="49" t="str">
        <f>IF(AND($B230&gt;='111'!$N$11,$B230&lt;='111'!$O$11,OR($L230=$O$7,$M230=$O$7)),"x","")</f>
        <v>x</v>
      </c>
      <c r="P230" s="49" t="str">
        <f>IF(AND($L230=$O$7,$B230&lt;'111'!$N$11),"x","")</f>
        <v/>
      </c>
      <c r="Q230" s="49" t="str">
        <f>IF(AND($M230=$O$7,$B230&lt;'111'!$N$11),"x","")</f>
        <v/>
      </c>
      <c r="R230" s="49" t="str">
        <f>IF(ISERROR(FIND('112'!$M$9,G230,1)),"",IF((AND(FIND('112'!$M$9,G230,1)&gt;=1,$B230&gt;='112'!$N$8,$B230&lt;='112'!$O$8,OR($L230='112'!$I$6,$M230='112'!$I$6))),"x",""))</f>
        <v/>
      </c>
      <c r="S230" s="49" t="str">
        <f>IF(ISERROR(FIND('112'!$M$9,G230,1)),"",IF((AND(LEFT(G230,2)=LEFT('112'!$M$9,2),B230&lt;'112'!$N$8,$L230='112'!$I$6)),"x",""))</f>
        <v/>
      </c>
      <c r="T230" s="49" t="str">
        <f>IF(ISERROR(FIND('112'!$M$9,G230,1)),"",IF((AND(RIGHT(G230,2)=RIGHT('112'!$M$9,2),B230&lt;'112'!$N$8,$M230='112'!$I$6)),"x",""))</f>
        <v/>
      </c>
      <c r="U230" s="49" t="str">
        <f>IF(AND(L230="154",'154'!$O$5&lt;=B230,'154'!$P$5&gt;=B230),"154",IF(AND(L230="632",'632'!$L$5&lt;=B230,'632'!$M$5&gt;=B230),"632",IF(AND(L230="642",'642'!$N$5&lt;=B230,'642'!$O$5&gt;=B230),"642",IF(AND(L230="641",'641'!$N$5&lt;=B230,'641'!$O$5&gt;=B230),"641",""))))</f>
        <v/>
      </c>
      <c r="V230" s="49" t="str">
        <f>IF(OR(TH!L230=TH!$V$7,M230=TH!$V$7),"x","")</f>
        <v/>
      </c>
      <c r="W230" s="49" t="str">
        <f>IF(AND(B230&gt;='IN-NX'!$P$3,B230&lt;='IN-NX'!$Q$3,'IN-NX'!$D$7=D230,OR(LEFT(L230,2)="15",AND(LEFT(M230,2)&lt;&gt;"15",LEFT(M230,2)&lt;&gt;"33"))),"x","")</f>
        <v/>
      </c>
      <c r="X230" s="49" t="str">
        <f>IF(AND(OR(LEFT(TH!L230,2)="15",LEFT(TH!M230,2)="15"),'152-CT'!$J$8=TH!F230),"x","")</f>
        <v/>
      </c>
      <c r="Y230" s="49" t="str">
        <f>IF(AND(OR(LEFT(TH!L230,2)="15",LEFT(TH!M230,2)="15"),TK!$E$7=TH!F230),"x","")</f>
        <v/>
      </c>
      <c r="Z230" s="49" t="str">
        <f>IF(AND(B230&lt;=NKC!$N$8,B230&gt;=NKC!$M$8),"x","")</f>
        <v/>
      </c>
      <c r="AA230" s="723"/>
      <c r="AB230" s="497"/>
      <c r="AC230" s="497"/>
      <c r="AD230" s="497"/>
    </row>
    <row r="231" spans="1:30" s="199" customFormat="1" ht="15.75" customHeight="1">
      <c r="A231" s="724" t="str">
        <f>IF(B231&lt;&gt;"",IF(AND(B231&gt;=_TM1,B231&lt;=_TM2,OR(TH!L231="1111",TH!M231="1111")),TH!D231,""),"")</f>
        <v>C29</v>
      </c>
      <c r="B231" s="36">
        <f t="shared" si="13"/>
        <v>12</v>
      </c>
      <c r="C231" s="185">
        <f t="shared" si="14"/>
        <v>41271</v>
      </c>
      <c r="D231" s="178" t="s">
        <v>528</v>
      </c>
      <c r="E231" s="178">
        <v>41271</v>
      </c>
      <c r="F231" s="183" t="s">
        <v>364</v>
      </c>
      <c r="G231" s="732" t="s">
        <v>461</v>
      </c>
      <c r="H231" s="187" t="s">
        <v>459</v>
      </c>
      <c r="I231" s="247"/>
      <c r="J231" s="247"/>
      <c r="K231" s="505">
        <v>336364</v>
      </c>
      <c r="L231" s="188" t="s">
        <v>9</v>
      </c>
      <c r="M231" s="188" t="s">
        <v>47</v>
      </c>
      <c r="N231" s="49" t="str">
        <f>IF(AND('331-CT'!$E$7=TH!H231,OR(L231="331",M231="331")),"331",IF(AND(OR(L231="131",M231="131"),H231='131-CT'!$E$7),"131",""))</f>
        <v/>
      </c>
      <c r="O231" s="49" t="str">
        <f>IF(AND($B231&gt;='111'!$N$11,$B231&lt;='111'!$O$11,OR($L231=$O$7,$M231=$O$7)),"x","")</f>
        <v>x</v>
      </c>
      <c r="P231" s="49" t="str">
        <f>IF(AND($L231=$O$7,$B231&lt;'111'!$N$11),"x","")</f>
        <v/>
      </c>
      <c r="Q231" s="49" t="str">
        <f>IF(AND($M231=$O$7,$B231&lt;'111'!$N$11),"x","")</f>
        <v/>
      </c>
      <c r="R231" s="49" t="str">
        <f>IF(ISERROR(FIND('112'!$M$9,G231,1)),"",IF((AND(FIND('112'!$M$9,G231,1)&gt;=1,$B231&gt;='112'!$N$8,$B231&lt;='112'!$O$8,OR($L231='112'!$I$6,$M231='112'!$I$6))),"x",""))</f>
        <v/>
      </c>
      <c r="S231" s="49" t="str">
        <f>IF(ISERROR(FIND('112'!$M$9,G231,1)),"",IF((AND(LEFT(G231,2)=LEFT('112'!$M$9,2),B231&lt;'112'!$N$8,$L231='112'!$I$6)),"x",""))</f>
        <v/>
      </c>
      <c r="T231" s="49" t="str">
        <f>IF(ISERROR(FIND('112'!$M$9,G231,1)),"",IF((AND(RIGHT(G231,2)=RIGHT('112'!$M$9,2),B231&lt;'112'!$N$8,$M231='112'!$I$6)),"x",""))</f>
        <v/>
      </c>
      <c r="U231" s="49" t="str">
        <f>IF(AND(L231="154",'154'!$O$5&lt;=B231,'154'!$P$5&gt;=B231),"154",IF(AND(L231="632",'632'!$L$5&lt;=B231,'632'!$M$5&gt;=B231),"632",IF(AND(L231="642",'642'!$N$5&lt;=B231,'642'!$O$5&gt;=B231),"642",IF(AND(L231="641",'641'!$N$5&lt;=B231,'641'!$O$5&gt;=B231),"641",""))))</f>
        <v/>
      </c>
      <c r="V231" s="49" t="str">
        <f>IF(OR(TH!L231=TH!$V$7,M231=TH!$V$7),"x","")</f>
        <v>x</v>
      </c>
      <c r="W231" s="49" t="str">
        <f>IF(AND(B231&gt;='IN-NX'!$P$3,B231&lt;='IN-NX'!$Q$3,'IN-NX'!$D$7=D231,OR(LEFT(L231,2)="15",AND(LEFT(M231,2)&lt;&gt;"15",LEFT(M231,2)&lt;&gt;"33"))),"x","")</f>
        <v/>
      </c>
      <c r="X231" s="49" t="str">
        <f>IF(AND(OR(LEFT(TH!L231,2)="15",LEFT(TH!M231,2)="15"),'152-CT'!$J$8=TH!F231),"x","")</f>
        <v/>
      </c>
      <c r="Y231" s="49" t="str">
        <f>IF(AND(OR(LEFT(TH!L231,2)="15",LEFT(TH!M231,2)="15"),TK!$E$7=TH!F231),"x","")</f>
        <v/>
      </c>
      <c r="Z231" s="49" t="str">
        <f>IF(AND(B231&lt;=NKC!$N$8,B231&gt;=NKC!$M$8),"x","")</f>
        <v/>
      </c>
      <c r="AA231" s="723">
        <v>12</v>
      </c>
      <c r="AD231" s="497"/>
    </row>
    <row r="232" spans="1:30" s="199" customFormat="1" ht="15.75" hidden="1" customHeight="1">
      <c r="A232" s="724" t="str">
        <f>IF(B232&lt;&gt;"",IF(AND(B232&gt;=_TM1,B232&lt;=_TM2,OR(TH!L232="1111",TH!M232="1111")),TH!D232,""),"")</f>
        <v/>
      </c>
      <c r="B232" s="36">
        <f t="shared" si="13"/>
        <v>12</v>
      </c>
      <c r="C232" s="185">
        <f t="shared" si="14"/>
        <v>41273</v>
      </c>
      <c r="D232" s="178" t="s">
        <v>530</v>
      </c>
      <c r="E232" s="178">
        <v>41273</v>
      </c>
      <c r="F232" s="183" t="s">
        <v>429</v>
      </c>
      <c r="G232" s="732" t="s">
        <v>464</v>
      </c>
      <c r="H232" s="7" t="s">
        <v>390</v>
      </c>
      <c r="I232" s="247">
        <v>550</v>
      </c>
      <c r="J232" s="247">
        <v>8556</v>
      </c>
      <c r="K232" s="37">
        <f>ROUND(I232*J232,0)</f>
        <v>4705800</v>
      </c>
      <c r="L232" s="188" t="s">
        <v>375</v>
      </c>
      <c r="M232" s="188" t="s">
        <v>8</v>
      </c>
      <c r="N232" s="49" t="str">
        <f>IF(AND('331-CT'!$E$7=TH!H232,OR(L232="331",M232="331")),"331",IF(AND(OR(L232="131",M232="131"),H232='131-CT'!$E$7),"131",""))</f>
        <v>331</v>
      </c>
      <c r="O232" s="49" t="str">
        <f>IF(AND($B232&gt;='111'!$N$11,$B232&lt;='111'!$O$11,OR($L232=$O$7,$M232=$O$7)),"x","")</f>
        <v/>
      </c>
      <c r="P232" s="49" t="str">
        <f>IF(AND($L232=$O$7,$B232&lt;'111'!$N$11),"x","")</f>
        <v/>
      </c>
      <c r="Q232" s="49" t="str">
        <f>IF(AND($M232=$O$7,$B232&lt;'111'!$N$11),"x","")</f>
        <v/>
      </c>
      <c r="R232" s="49" t="str">
        <f>IF(ISERROR(FIND('112'!$M$9,G232,1)),"",IF((AND(FIND('112'!$M$9,G232,1)&gt;=1,$B232&gt;='112'!$N$8,$B232&lt;='112'!$O$8,OR($L232='112'!$I$6,$M232='112'!$I$6))),"x",""))</f>
        <v/>
      </c>
      <c r="S232" s="49" t="str">
        <f>IF(ISERROR(FIND('112'!$M$9,G232,1)),"",IF((AND(LEFT(G232,2)=LEFT('112'!$M$9,2),B232&lt;'112'!$N$8,$L232='112'!$I$6)),"x",""))</f>
        <v/>
      </c>
      <c r="T232" s="49" t="str">
        <f>IF(ISERROR(FIND('112'!$M$9,G232,1)),"",IF((AND(RIGHT(G232,2)=RIGHT('112'!$M$9,2),B232&lt;'112'!$N$8,$M232='112'!$I$6)),"x",""))</f>
        <v/>
      </c>
      <c r="U232" s="49" t="str">
        <f>IF(AND(L232="154",'154'!$O$5&lt;=B232,'154'!$P$5&gt;=B232),"154",IF(AND(L232="632",'632'!$L$5&lt;=B232,'632'!$M$5&gt;=B232),"632",IF(AND(L232="642",'642'!$N$5&lt;=B232,'642'!$O$5&gt;=B232),"642",IF(AND(L232="641",'641'!$N$5&lt;=B232,'641'!$O$5&gt;=B232),"641",""))))</f>
        <v/>
      </c>
      <c r="V232" s="49" t="str">
        <f>IF(OR(TH!L232=TH!$V$7,M232=TH!$V$7),"x","")</f>
        <v/>
      </c>
      <c r="W232" s="49" t="str">
        <f>IF(AND(B232&gt;='IN-NX'!$P$3,B232&lt;='IN-NX'!$Q$3,'IN-NX'!$D$7=D232,OR(LEFT(L232,2)="15",AND(LEFT(M232,2)&lt;&gt;"15",LEFT(M232,2)&lt;&gt;"33"))),"x","")</f>
        <v/>
      </c>
      <c r="X232" s="49" t="str">
        <f>IF(AND(OR(LEFT(TH!L232,2)="15",LEFT(TH!M232,2)="15"),'152-CT'!$J$8=TH!F232),"x","")</f>
        <v/>
      </c>
      <c r="Y232" s="49" t="str">
        <f>IF(AND(OR(LEFT(TH!L232,2)="15",LEFT(TH!M232,2)="15"),TK!$E$7=TH!F232),"x","")</f>
        <v/>
      </c>
      <c r="Z232" s="49" t="str">
        <f>IF(AND(B232&lt;=NKC!$N$8,B232&gt;=NKC!$M$8),"x","")</f>
        <v/>
      </c>
      <c r="AA232" s="723"/>
      <c r="AB232" s="497"/>
      <c r="AC232" s="497"/>
      <c r="AD232" s="497"/>
    </row>
    <row r="233" spans="1:30" s="199" customFormat="1" ht="15.75" hidden="1" customHeight="1">
      <c r="A233" s="724" t="str">
        <f>IF(B233&lt;&gt;"",IF(AND(B233&gt;=_TM1,B233&lt;=_TM2,OR(TH!L233="1111",TH!M233="1111")),TH!D233,""),"")</f>
        <v/>
      </c>
      <c r="B233" s="36">
        <f t="shared" si="13"/>
        <v>12</v>
      </c>
      <c r="C233" s="185">
        <f t="shared" si="14"/>
        <v>41273</v>
      </c>
      <c r="D233" s="178" t="s">
        <v>530</v>
      </c>
      <c r="E233" s="178">
        <v>41273</v>
      </c>
      <c r="F233" s="183" t="s">
        <v>465</v>
      </c>
      <c r="G233" s="732" t="s">
        <v>464</v>
      </c>
      <c r="H233" s="7" t="s">
        <v>390</v>
      </c>
      <c r="I233" s="247">
        <v>550</v>
      </c>
      <c r="J233" s="247">
        <v>11532</v>
      </c>
      <c r="K233" s="37">
        <f>ROUND(I233*J233,0)</f>
        <v>6342600</v>
      </c>
      <c r="L233" s="188" t="s">
        <v>375</v>
      </c>
      <c r="M233" s="188" t="s">
        <v>8</v>
      </c>
      <c r="N233" s="49" t="str">
        <f>IF(AND('331-CT'!$E$7=TH!H233,OR(L233="331",M233="331")),"331",IF(AND(OR(L233="131",M233="131"),H233='131-CT'!$E$7),"131",""))</f>
        <v>331</v>
      </c>
      <c r="O233" s="49" t="str">
        <f>IF(AND($B233&gt;='111'!$N$11,$B233&lt;='111'!$O$11,OR($L233=$O$7,$M233=$O$7)),"x","")</f>
        <v/>
      </c>
      <c r="P233" s="49" t="str">
        <f>IF(AND($L233=$O$7,$B233&lt;'111'!$N$11),"x","")</f>
        <v/>
      </c>
      <c r="Q233" s="49" t="str">
        <f>IF(AND($M233=$O$7,$B233&lt;'111'!$N$11),"x","")</f>
        <v/>
      </c>
      <c r="R233" s="49" t="str">
        <f>IF(ISERROR(FIND('112'!$M$9,G233,1)),"",IF((AND(FIND('112'!$M$9,G233,1)&gt;=1,$B233&gt;='112'!$N$8,$B233&lt;='112'!$O$8,OR($L233='112'!$I$6,$M233='112'!$I$6))),"x",""))</f>
        <v/>
      </c>
      <c r="S233" s="49" t="str">
        <f>IF(ISERROR(FIND('112'!$M$9,G233,1)),"",IF((AND(LEFT(G233,2)=LEFT('112'!$M$9,2),B233&lt;'112'!$N$8,$L233='112'!$I$6)),"x",""))</f>
        <v/>
      </c>
      <c r="T233" s="49" t="str">
        <f>IF(ISERROR(FIND('112'!$M$9,G233,1)),"",IF((AND(RIGHT(G233,2)=RIGHT('112'!$M$9,2),B233&lt;'112'!$N$8,$M233='112'!$I$6)),"x",""))</f>
        <v/>
      </c>
      <c r="U233" s="49" t="str">
        <f>IF(AND(L233="154",'154'!$O$5&lt;=B233,'154'!$P$5&gt;=B233),"154",IF(AND(L233="632",'632'!$L$5&lt;=B233,'632'!$M$5&gt;=B233),"632",IF(AND(L233="642",'642'!$N$5&lt;=B233,'642'!$O$5&gt;=B233),"642",IF(AND(L233="641",'641'!$N$5&lt;=B233,'641'!$O$5&gt;=B233),"641",""))))</f>
        <v/>
      </c>
      <c r="V233" s="49" t="str">
        <f>IF(OR(TH!L233=TH!$V$7,M233=TH!$V$7),"x","")</f>
        <v/>
      </c>
      <c r="W233" s="49" t="str">
        <f>IF(AND(B233&gt;='IN-NX'!$P$3,B233&lt;='IN-NX'!$Q$3,'IN-NX'!$D$7=D233,OR(LEFT(L233,2)="15",AND(LEFT(M233,2)&lt;&gt;"15",LEFT(M233,2)&lt;&gt;"33"))),"x","")</f>
        <v/>
      </c>
      <c r="X233" s="49" t="str">
        <f>IF(AND(OR(LEFT(TH!L233,2)="15",LEFT(TH!M233,2)="15"),'152-CT'!$J$8=TH!F233),"x","")</f>
        <v/>
      </c>
      <c r="Y233" s="49" t="str">
        <f>IF(AND(OR(LEFT(TH!L233,2)="15",LEFT(TH!M233,2)="15"),TK!$E$7=TH!F233),"x","")</f>
        <v/>
      </c>
      <c r="Z233" s="49" t="str">
        <f>IF(AND(B233&lt;=NKC!$N$8,B233&gt;=NKC!$M$8),"x","")</f>
        <v/>
      </c>
      <c r="AA233" s="723"/>
      <c r="AD233" s="497"/>
    </row>
    <row r="234" spans="1:30" s="199" customFormat="1" ht="15.75" hidden="1" customHeight="1">
      <c r="A234" s="724" t="str">
        <f>IF(B234&lt;&gt;"",IF(AND(B234&gt;=_TM1,B234&lt;=_TM2,OR(TH!L234="1111",TH!M234="1111")),TH!D234,""),"")</f>
        <v/>
      </c>
      <c r="B234" s="36">
        <f t="shared" si="13"/>
        <v>12</v>
      </c>
      <c r="C234" s="185">
        <f t="shared" si="14"/>
        <v>41273</v>
      </c>
      <c r="D234" s="178" t="s">
        <v>530</v>
      </c>
      <c r="E234" s="178">
        <v>41273</v>
      </c>
      <c r="F234" s="183" t="s">
        <v>399</v>
      </c>
      <c r="G234" s="732" t="s">
        <v>464</v>
      </c>
      <c r="H234" s="7" t="s">
        <v>390</v>
      </c>
      <c r="I234" s="247">
        <v>500</v>
      </c>
      <c r="J234" s="247">
        <v>10298</v>
      </c>
      <c r="K234" s="37">
        <f>ROUND(I234*J234,0)</f>
        <v>5149000</v>
      </c>
      <c r="L234" s="188" t="s">
        <v>375</v>
      </c>
      <c r="M234" s="188" t="s">
        <v>8</v>
      </c>
      <c r="N234" s="49" t="str">
        <f>IF(AND('331-CT'!$E$7=TH!H234,OR(L234="331",M234="331")),"331",IF(AND(OR(L234="131",M234="131"),H234='131-CT'!$E$7),"131",""))</f>
        <v>331</v>
      </c>
      <c r="O234" s="49" t="str">
        <f>IF(AND($B234&gt;='111'!$N$11,$B234&lt;='111'!$O$11,OR($L234=$O$7,$M234=$O$7)),"x","")</f>
        <v/>
      </c>
      <c r="P234" s="49" t="str">
        <f>IF(AND($L234=$O$7,$B234&lt;'111'!$N$11),"x","")</f>
        <v/>
      </c>
      <c r="Q234" s="49" t="str">
        <f>IF(AND($M234=$O$7,$B234&lt;'111'!$N$11),"x","")</f>
        <v/>
      </c>
      <c r="R234" s="49" t="str">
        <f>IF(ISERROR(FIND('112'!$M$9,G234,1)),"",IF((AND(FIND('112'!$M$9,G234,1)&gt;=1,$B234&gt;='112'!$N$8,$B234&lt;='112'!$O$8,OR($L234='112'!$I$6,$M234='112'!$I$6))),"x",""))</f>
        <v/>
      </c>
      <c r="S234" s="49" t="str">
        <f>IF(ISERROR(FIND('112'!$M$9,G234,1)),"",IF((AND(LEFT(G234,2)=LEFT('112'!$M$9,2),B234&lt;'112'!$N$8,$L234='112'!$I$6)),"x",""))</f>
        <v/>
      </c>
      <c r="T234" s="49" t="str">
        <f>IF(ISERROR(FIND('112'!$M$9,G234,1)),"",IF((AND(RIGHT(G234,2)=RIGHT('112'!$M$9,2),B234&lt;'112'!$N$8,$M234='112'!$I$6)),"x",""))</f>
        <v/>
      </c>
      <c r="U234" s="49" t="str">
        <f>IF(AND(L234="154",'154'!$O$5&lt;=B234,'154'!$P$5&gt;=B234),"154",IF(AND(L234="632",'632'!$L$5&lt;=B234,'632'!$M$5&gt;=B234),"632",IF(AND(L234="642",'642'!$N$5&lt;=B234,'642'!$O$5&gt;=B234),"642",IF(AND(L234="641",'641'!$N$5&lt;=B234,'641'!$O$5&gt;=B234),"641",""))))</f>
        <v/>
      </c>
      <c r="V234" s="49" t="str">
        <f>IF(OR(TH!L234=TH!$V$7,M234=TH!$V$7),"x","")</f>
        <v/>
      </c>
      <c r="W234" s="49" t="str">
        <f>IF(AND(B234&gt;='IN-NX'!$P$3,B234&lt;='IN-NX'!$Q$3,'IN-NX'!$D$7=D234,OR(LEFT(L234,2)="15",AND(LEFT(M234,2)&lt;&gt;"15",LEFT(M234,2)&lt;&gt;"33"))),"x","")</f>
        <v/>
      </c>
      <c r="X234" s="49" t="str">
        <f>IF(AND(OR(LEFT(TH!L234,2)="15",LEFT(TH!M234,2)="15"),'152-CT'!$J$8=TH!F234),"x","")</f>
        <v/>
      </c>
      <c r="Y234" s="49" t="str">
        <f>IF(AND(OR(LEFT(TH!L234,2)="15",LEFT(TH!M234,2)="15"),TK!$E$7=TH!F234),"x","")</f>
        <v/>
      </c>
      <c r="Z234" s="49" t="str">
        <f>IF(AND(B234&lt;=NKC!$N$8,B234&gt;=NKC!$M$8),"x","")</f>
        <v/>
      </c>
      <c r="AA234" s="723"/>
      <c r="AB234" s="497"/>
      <c r="AD234" s="497"/>
    </row>
    <row r="235" spans="1:30" s="199" customFormat="1" ht="15.75" customHeight="1">
      <c r="A235" s="724" t="str">
        <f>IF(B235&lt;&gt;"",IF(AND(B235&gt;=_TM1,B235&lt;=_TM2,OR(TH!L235="1111",TH!M235="1111")),TH!D235,""),"")</f>
        <v/>
      </c>
      <c r="B235" s="36">
        <f t="shared" si="13"/>
        <v>12</v>
      </c>
      <c r="C235" s="185">
        <f t="shared" si="14"/>
        <v>41273</v>
      </c>
      <c r="D235" s="178" t="s">
        <v>530</v>
      </c>
      <c r="E235" s="178">
        <v>41273</v>
      </c>
      <c r="F235" s="183" t="s">
        <v>392</v>
      </c>
      <c r="G235" s="732" t="s">
        <v>464</v>
      </c>
      <c r="H235" s="7" t="s">
        <v>390</v>
      </c>
      <c r="I235" s="247"/>
      <c r="J235" s="247"/>
      <c r="K235" s="37">
        <v>1619740</v>
      </c>
      <c r="L235" s="188" t="s">
        <v>9</v>
      </c>
      <c r="M235" s="188" t="s">
        <v>8</v>
      </c>
      <c r="N235" s="49" t="str">
        <f>IF(AND('331-CT'!$E$7=TH!H235,OR(L235="331",M235="331")),"331",IF(AND(OR(L235="131",M235="131"),H235='131-CT'!$E$7),"131",""))</f>
        <v>331</v>
      </c>
      <c r="O235" s="49" t="str">
        <f>IF(AND($B235&gt;='111'!$N$11,$B235&lt;='111'!$O$11,OR($L235=$O$7,$M235=$O$7)),"x","")</f>
        <v/>
      </c>
      <c r="P235" s="49" t="str">
        <f>IF(AND($L235=$O$7,$B235&lt;'111'!$N$11),"x","")</f>
        <v/>
      </c>
      <c r="Q235" s="49" t="str">
        <f>IF(AND($M235=$O$7,$B235&lt;'111'!$N$11),"x","")</f>
        <v/>
      </c>
      <c r="R235" s="49" t="str">
        <f>IF(ISERROR(FIND('112'!$M$9,G235,1)),"",IF((AND(FIND('112'!$M$9,G235,1)&gt;=1,$B235&gt;='112'!$N$8,$B235&lt;='112'!$O$8,OR($L235='112'!$I$6,$M235='112'!$I$6))),"x",""))</f>
        <v/>
      </c>
      <c r="S235" s="49" t="str">
        <f>IF(ISERROR(FIND('112'!$M$9,G235,1)),"",IF((AND(LEFT(G235,2)=LEFT('112'!$M$9,2),B235&lt;'112'!$N$8,$L235='112'!$I$6)),"x",""))</f>
        <v/>
      </c>
      <c r="T235" s="49" t="str">
        <f>IF(ISERROR(FIND('112'!$M$9,G235,1)),"",IF((AND(RIGHT(G235,2)=RIGHT('112'!$M$9,2),B235&lt;'112'!$N$8,$M235='112'!$I$6)),"x",""))</f>
        <v/>
      </c>
      <c r="U235" s="49" t="str">
        <f>IF(AND(L235="154",'154'!$O$5&lt;=B235,'154'!$P$5&gt;=B235),"154",IF(AND(L235="632",'632'!$L$5&lt;=B235,'632'!$M$5&gt;=B235),"632",IF(AND(L235="642",'642'!$N$5&lt;=B235,'642'!$O$5&gt;=B235),"642",IF(AND(L235="641",'641'!$N$5&lt;=B235,'641'!$O$5&gt;=B235),"641",""))))</f>
        <v/>
      </c>
      <c r="V235" s="49" t="str">
        <f>IF(OR(TH!L235=TH!$V$7,M235=TH!$V$7),"x","")</f>
        <v>x</v>
      </c>
      <c r="W235" s="49" t="str">
        <f>IF(AND(B235&gt;='IN-NX'!$P$3,B235&lt;='IN-NX'!$Q$3,'IN-NX'!$D$7=D235,OR(LEFT(L235,2)="15",AND(LEFT(M235,2)&lt;&gt;"15",LEFT(M235,2)&lt;&gt;"33"))),"x","")</f>
        <v/>
      </c>
      <c r="X235" s="49" t="str">
        <f>IF(AND(OR(LEFT(TH!L235,2)="15",LEFT(TH!M235,2)="15"),'152-CT'!$J$8=TH!F235),"x","")</f>
        <v/>
      </c>
      <c r="Y235" s="49" t="str">
        <f>IF(AND(OR(LEFT(TH!L235,2)="15",LEFT(TH!M235,2)="15"),TK!$E$7=TH!F235),"x","")</f>
        <v/>
      </c>
      <c r="Z235" s="49" t="str">
        <f>IF(AND(B235&lt;=NKC!$N$8,B235&gt;=NKC!$M$8),"x","")</f>
        <v/>
      </c>
      <c r="AA235" s="723">
        <v>12</v>
      </c>
      <c r="AB235" s="497"/>
      <c r="AC235" s="497"/>
      <c r="AD235" s="497"/>
    </row>
    <row r="236" spans="1:30" s="199" customFormat="1" ht="15.75" hidden="1" customHeight="1">
      <c r="A236" s="724" t="str">
        <f>IF(B236&lt;&gt;"",IF(AND(B236&gt;=_TM1,B236&lt;=_TM2,OR(TH!L236="1111",TH!M236="1111")),TH!D236,""),"")</f>
        <v>C30</v>
      </c>
      <c r="B236" s="36">
        <f t="shared" si="13"/>
        <v>12</v>
      </c>
      <c r="C236" s="185">
        <f t="shared" si="14"/>
        <v>41273</v>
      </c>
      <c r="D236" s="185" t="s">
        <v>529</v>
      </c>
      <c r="E236" s="178">
        <v>41273</v>
      </c>
      <c r="F236" s="183" t="s">
        <v>486</v>
      </c>
      <c r="G236" s="732" t="s">
        <v>464</v>
      </c>
      <c r="H236" s="7" t="s">
        <v>390</v>
      </c>
      <c r="I236" s="247"/>
      <c r="J236" s="247"/>
      <c r="K236" s="37">
        <v>17817140</v>
      </c>
      <c r="L236" s="188" t="s">
        <v>8</v>
      </c>
      <c r="M236" s="188" t="s">
        <v>47</v>
      </c>
      <c r="N236" s="49" t="str">
        <f>IF(AND('331-CT'!$E$7=TH!H236,OR(L236="331",M236="331")),"331",IF(AND(OR(L236="131",M236="131"),H236='131-CT'!$E$7),"131",""))</f>
        <v>331</v>
      </c>
      <c r="O236" s="49" t="str">
        <f>IF(AND($B236&gt;='111'!$N$11,$B236&lt;='111'!$O$11,OR($L236=$O$7,$M236=$O$7)),"x","")</f>
        <v>x</v>
      </c>
      <c r="P236" s="49" t="str">
        <f>IF(AND($L236=$O$7,$B236&lt;'111'!$N$11),"x","")</f>
        <v/>
      </c>
      <c r="Q236" s="49" t="str">
        <f>IF(AND($M236=$O$7,$B236&lt;'111'!$N$11),"x","")</f>
        <v/>
      </c>
      <c r="R236" s="49" t="str">
        <f>IF(ISERROR(FIND('112'!$M$9,G236,1)),"",IF((AND(FIND('112'!$M$9,G236,1)&gt;=1,$B236&gt;='112'!$N$8,$B236&lt;='112'!$O$8,OR($L236='112'!$I$6,$M236='112'!$I$6))),"x",""))</f>
        <v/>
      </c>
      <c r="S236" s="49" t="str">
        <f>IF(ISERROR(FIND('112'!$M$9,G236,1)),"",IF((AND(LEFT(G236,2)=LEFT('112'!$M$9,2),B236&lt;'112'!$N$8,$L236='112'!$I$6)),"x",""))</f>
        <v/>
      </c>
      <c r="T236" s="49" t="str">
        <f>IF(ISERROR(FIND('112'!$M$9,G236,1)),"",IF((AND(RIGHT(G236,2)=RIGHT('112'!$M$9,2),B236&lt;'112'!$N$8,$M236='112'!$I$6)),"x",""))</f>
        <v/>
      </c>
      <c r="U236" s="49" t="str">
        <f>IF(AND(L236="154",'154'!$O$5&lt;=B236,'154'!$P$5&gt;=B236),"154",IF(AND(L236="632",'632'!$L$5&lt;=B236,'632'!$M$5&gt;=B236),"632",IF(AND(L236="642",'642'!$N$5&lt;=B236,'642'!$O$5&gt;=B236),"642",IF(AND(L236="641",'641'!$N$5&lt;=B236,'641'!$O$5&gt;=B236),"641",""))))</f>
        <v/>
      </c>
      <c r="V236" s="49" t="str">
        <f>IF(OR(TH!L236=TH!$V$7,M236=TH!$V$7),"x","")</f>
        <v/>
      </c>
      <c r="W236" s="49" t="str">
        <f>IF(AND(B236&gt;='IN-NX'!$P$3,B236&lt;='IN-NX'!$Q$3,'IN-NX'!$D$7=D236,OR(LEFT(L236,2)="15",AND(LEFT(M236,2)&lt;&gt;"15",LEFT(M236,2)&lt;&gt;"33"))),"x","")</f>
        <v/>
      </c>
      <c r="X236" s="49" t="str">
        <f>IF(AND(OR(LEFT(TH!L236,2)="15",LEFT(TH!M236,2)="15"),'152-CT'!$J$8=TH!F236),"x","")</f>
        <v/>
      </c>
      <c r="Y236" s="49" t="str">
        <f>IF(AND(OR(LEFT(TH!L236,2)="15",LEFT(TH!M236,2)="15"),TK!$E$7=TH!F236),"x","")</f>
        <v/>
      </c>
      <c r="Z236" s="49" t="str">
        <f>IF(AND(B236&lt;=NKC!$N$8,B236&gt;=NKC!$M$8),"x","")</f>
        <v/>
      </c>
      <c r="AA236" s="723"/>
      <c r="AB236" s="497"/>
    </row>
    <row r="237" spans="1:30" s="199" customFormat="1" ht="15.75" hidden="1" customHeight="1">
      <c r="A237" s="724" t="str">
        <f>IF(B237&lt;&gt;"",IF(AND(B237&gt;=_TM1,B237&lt;=_TM2,OR(TH!L237="1111",TH!M237="1111")),TH!D237,""),"")</f>
        <v/>
      </c>
      <c r="B237" s="36">
        <f t="shared" si="13"/>
        <v>12</v>
      </c>
      <c r="C237" s="185">
        <f t="shared" si="14"/>
        <v>41274</v>
      </c>
      <c r="D237" s="178" t="s">
        <v>473</v>
      </c>
      <c r="E237" s="178">
        <v>41274</v>
      </c>
      <c r="F237" s="183" t="s">
        <v>480</v>
      </c>
      <c r="G237" s="731" t="s">
        <v>374</v>
      </c>
      <c r="H237" s="187"/>
      <c r="I237" s="247"/>
      <c r="J237" s="247"/>
      <c r="K237" s="505">
        <v>7199</v>
      </c>
      <c r="L237" s="506" t="s">
        <v>24</v>
      </c>
      <c r="M237" s="506" t="s">
        <v>40</v>
      </c>
      <c r="N237" s="49" t="str">
        <f>IF(AND('331-CT'!$E$7=TH!H237,OR(L237="331",M237="331")),"331",IF(AND(OR(L237="131",M237="131"),H237='131-CT'!$E$7),"131",""))</f>
        <v/>
      </c>
      <c r="O237" s="49" t="str">
        <f>IF(AND($B237&gt;='111'!$N$11,$B237&lt;='111'!$O$11,OR($L237=$O$7,$M237=$O$7)),"x","")</f>
        <v/>
      </c>
      <c r="P237" s="49" t="str">
        <f>IF(AND($L237=$O$7,$B237&lt;'111'!$N$11),"x","")</f>
        <v/>
      </c>
      <c r="Q237" s="49" t="str">
        <f>IF(AND($M237=$O$7,$B237&lt;'111'!$N$11),"x","")</f>
        <v/>
      </c>
      <c r="R237" s="49" t="str">
        <f>IF(ISERROR(FIND('112'!$M$9,G237,1)),"",IF((AND(FIND('112'!$M$9,G237,1)&gt;=1,$B237&gt;='112'!$N$8,$B237&lt;='112'!$O$8,OR($L237='112'!$I$6,$M237='112'!$I$6))),"x",""))</f>
        <v>x</v>
      </c>
      <c r="S237" s="49" t="str">
        <f>IF(ISERROR(FIND('112'!$M$9,G237,1)),"",IF((AND(LEFT(G237,2)=LEFT('112'!$M$9,2),B237&lt;'112'!$N$8,$L237='112'!$I$6)),"x",""))</f>
        <v/>
      </c>
      <c r="T237" s="49" t="str">
        <f>IF(ISERROR(FIND('112'!$M$9,G237,1)),"",IF((AND(RIGHT(G237,2)=RIGHT('112'!$M$9,2),B237&lt;'112'!$N$8,$M237='112'!$I$6)),"x",""))</f>
        <v/>
      </c>
      <c r="U237" s="49" t="str">
        <f>IF(AND(L237="154",'154'!$O$5&lt;=B237,'154'!$P$5&gt;=B237),"154",IF(AND(L237="632",'632'!$L$5&lt;=B237,'632'!$M$5&gt;=B237),"632",IF(AND(L237="642",'642'!$N$5&lt;=B237,'642'!$O$5&gt;=B237),"642",IF(AND(L237="641",'641'!$N$5&lt;=B237,'641'!$O$5&gt;=B237),"641",""))))</f>
        <v/>
      </c>
      <c r="V237" s="49" t="str">
        <f>IF(OR(TH!L237=TH!$V$7,M237=TH!$V$7),"x","")</f>
        <v/>
      </c>
      <c r="W237" s="49" t="str">
        <f>IF(AND(B237&gt;='IN-NX'!$P$3,B237&lt;='IN-NX'!$Q$3,'IN-NX'!$D$7=D237,OR(LEFT(L237,2)="15",AND(LEFT(M237,2)&lt;&gt;"15",LEFT(M237,2)&lt;&gt;"33"))),"x","")</f>
        <v/>
      </c>
      <c r="X237" s="49" t="str">
        <f>IF(AND(OR(LEFT(TH!L237,2)="15",LEFT(TH!M237,2)="15"),'152-CT'!$J$8=TH!F237),"x","")</f>
        <v/>
      </c>
      <c r="Y237" s="49" t="str">
        <f>IF(AND(OR(LEFT(TH!L237,2)="15",LEFT(TH!M237,2)="15"),TK!$E$7=TH!F237),"x","")</f>
        <v/>
      </c>
      <c r="Z237" s="49" t="str">
        <f>IF(AND(B237&lt;=NKC!$N$8,B237&gt;=NKC!$M$8),"x","")</f>
        <v/>
      </c>
      <c r="AA237" s="723"/>
      <c r="AB237" s="497"/>
      <c r="AC237" s="497"/>
      <c r="AD237" s="497"/>
    </row>
    <row r="238" spans="1:30" s="199" customFormat="1" ht="15.75" hidden="1" customHeight="1">
      <c r="A238" s="724" t="str">
        <f>IF(B238&lt;&gt;"",IF(AND(B238&gt;=_TM1,B238&lt;=_TM2,OR(TH!L238="1111",TH!M238="1111")),TH!D238,""),"")</f>
        <v/>
      </c>
      <c r="B238" s="36">
        <f t="shared" si="13"/>
        <v>12</v>
      </c>
      <c r="C238" s="185">
        <f t="shared" si="14"/>
        <v>41274</v>
      </c>
      <c r="D238" s="178" t="s">
        <v>485</v>
      </c>
      <c r="E238" s="178">
        <v>41274</v>
      </c>
      <c r="F238" s="183" t="s">
        <v>475</v>
      </c>
      <c r="G238" s="731" t="s">
        <v>374</v>
      </c>
      <c r="H238" s="187"/>
      <c r="I238" s="247"/>
      <c r="J238" s="247"/>
      <c r="K238" s="505">
        <v>11000</v>
      </c>
      <c r="L238" s="506" t="s">
        <v>83</v>
      </c>
      <c r="M238" s="506" t="s">
        <v>24</v>
      </c>
      <c r="N238" s="49" t="str">
        <f>IF(AND('331-CT'!$E$7=TH!H238,OR(L238="331",M238="331")),"331",IF(AND(OR(L238="131",M238="131"),H238='131-CT'!$E$7),"131",""))</f>
        <v/>
      </c>
      <c r="O238" s="49" t="str">
        <f>IF(AND($B238&gt;='111'!$N$11,$B238&lt;='111'!$O$11,OR($L238=$O$7,$M238=$O$7)),"x","")</f>
        <v/>
      </c>
      <c r="P238" s="49" t="str">
        <f>IF(AND($L238=$O$7,$B238&lt;'111'!$N$11),"x","")</f>
        <v/>
      </c>
      <c r="Q238" s="49" t="str">
        <f>IF(AND($M238=$O$7,$B238&lt;'111'!$N$11),"x","")</f>
        <v/>
      </c>
      <c r="R238" s="49" t="str">
        <f>IF(ISERROR(FIND('112'!$M$9,G238,1)),"",IF((AND(FIND('112'!$M$9,G238,1)&gt;=1,$B238&gt;='112'!$N$8,$B238&lt;='112'!$O$8,OR($L238='112'!$I$6,$M238='112'!$I$6))),"x",""))</f>
        <v>x</v>
      </c>
      <c r="S238" s="49" t="str">
        <f>IF(ISERROR(FIND('112'!$M$9,G238,1)),"",IF((AND(LEFT(G238,2)=LEFT('112'!$M$9,2),B238&lt;'112'!$N$8,$L238='112'!$I$6)),"x",""))</f>
        <v/>
      </c>
      <c r="T238" s="49" t="str">
        <f>IF(ISERROR(FIND('112'!$M$9,G238,1)),"",IF((AND(RIGHT(G238,2)=RIGHT('112'!$M$9,2),B238&lt;'112'!$N$8,$M238='112'!$I$6)),"x",""))</f>
        <v/>
      </c>
      <c r="U238" s="49" t="str">
        <f>IF(AND(L238="154",'154'!$O$5&lt;=B238,'154'!$P$5&gt;=B238),"154",IF(AND(L238="632",'632'!$L$5&lt;=B238,'632'!$M$5&gt;=B238),"632",IF(AND(L238="642",'642'!$N$5&lt;=B238,'642'!$O$5&gt;=B238),"642",IF(AND(L238="641",'641'!$N$5&lt;=B238,'641'!$O$5&gt;=B238),"641",""))))</f>
        <v/>
      </c>
      <c r="V238" s="49" t="str">
        <f>IF(OR(TH!L238=TH!$V$7,M238=TH!$V$7),"x","")</f>
        <v/>
      </c>
      <c r="W238" s="49" t="str">
        <f>IF(AND(B238&gt;='IN-NX'!$P$3,B238&lt;='IN-NX'!$Q$3,'IN-NX'!$D$7=D238,OR(LEFT(L238,2)="15",AND(LEFT(M238,2)&lt;&gt;"15",LEFT(M238,2)&lt;&gt;"33"))),"x","")</f>
        <v/>
      </c>
      <c r="X238" s="49" t="str">
        <f>IF(AND(OR(LEFT(TH!L238,2)="15",LEFT(TH!M238,2)="15"),'152-CT'!$J$8=TH!F238),"x","")</f>
        <v/>
      </c>
      <c r="Y238" s="49" t="str">
        <f>IF(AND(OR(LEFT(TH!L238,2)="15",LEFT(TH!M238,2)="15"),TK!$E$7=TH!F238),"x","")</f>
        <v/>
      </c>
      <c r="Z238" s="49" t="str">
        <f>IF(AND(B238&lt;=NKC!$N$8,B238&gt;=NKC!$M$8),"x","")</f>
        <v/>
      </c>
      <c r="AA238" s="723"/>
      <c r="AB238" s="497"/>
      <c r="AC238" s="497"/>
      <c r="AD238" s="497"/>
    </row>
    <row r="239" spans="1:30" s="199" customFormat="1" ht="15.75" hidden="1" customHeight="1">
      <c r="A239" s="724" t="str">
        <f>IF(B239&lt;&gt;"",IF(AND(B239&gt;=_TM1,B239&lt;=_TM2,OR(TH!L239="1111",TH!M239="1111")),TH!D239,""),"")</f>
        <v>C31</v>
      </c>
      <c r="B239" s="36">
        <f t="shared" si="13"/>
        <v>12</v>
      </c>
      <c r="C239" s="185">
        <f t="shared" si="14"/>
        <v>41274</v>
      </c>
      <c r="D239" s="178" t="s">
        <v>531</v>
      </c>
      <c r="E239" s="178">
        <v>41274</v>
      </c>
      <c r="F239" s="183" t="s">
        <v>437</v>
      </c>
      <c r="G239" s="732" t="s">
        <v>362</v>
      </c>
      <c r="H239" s="187" t="s">
        <v>463</v>
      </c>
      <c r="I239" s="247"/>
      <c r="J239" s="247"/>
      <c r="K239" s="505">
        <v>3000000</v>
      </c>
      <c r="L239" s="188" t="s">
        <v>83</v>
      </c>
      <c r="M239" s="188" t="s">
        <v>47</v>
      </c>
      <c r="N239" s="49" t="str">
        <f>IF(AND('331-CT'!$E$7=TH!H239,OR(L239="331",M239="331")),"331",IF(AND(OR(L239="131",M239="131"),H239='131-CT'!$E$7),"131",""))</f>
        <v/>
      </c>
      <c r="O239" s="49" t="str">
        <f>IF(AND($B239&gt;='111'!$N$11,$B239&lt;='111'!$O$11,OR($L239=$O$7,$M239=$O$7)),"x","")</f>
        <v>x</v>
      </c>
      <c r="P239" s="49" t="str">
        <f>IF(AND($L239=$O$7,$B239&lt;'111'!$N$11),"x","")</f>
        <v/>
      </c>
      <c r="Q239" s="49" t="str">
        <f>IF(AND($M239=$O$7,$B239&lt;'111'!$N$11),"x","")</f>
        <v/>
      </c>
      <c r="R239" s="49" t="str">
        <f>IF(ISERROR(FIND('112'!$M$9,G239,1)),"",IF((AND(FIND('112'!$M$9,G239,1)&gt;=1,$B239&gt;='112'!$N$8,$B239&lt;='112'!$O$8,OR($L239='112'!$I$6,$M239='112'!$I$6))),"x",""))</f>
        <v/>
      </c>
      <c r="S239" s="49" t="str">
        <f>IF(ISERROR(FIND('112'!$M$9,G239,1)),"",IF((AND(LEFT(G239,2)=LEFT('112'!$M$9,2),B239&lt;'112'!$N$8,$L239='112'!$I$6)),"x",""))</f>
        <v/>
      </c>
      <c r="T239" s="49" t="str">
        <f>IF(ISERROR(FIND('112'!$M$9,G239,1)),"",IF((AND(RIGHT(G239,2)=RIGHT('112'!$M$9,2),B239&lt;'112'!$N$8,$M239='112'!$I$6)),"x",""))</f>
        <v/>
      </c>
      <c r="U239" s="49" t="str">
        <f>IF(AND(L239="154",'154'!$O$5&lt;=B239,'154'!$P$5&gt;=B239),"154",IF(AND(L239="632",'632'!$L$5&lt;=B239,'632'!$M$5&gt;=B239),"632",IF(AND(L239="642",'642'!$N$5&lt;=B239,'642'!$O$5&gt;=B239),"642",IF(AND(L239="641",'641'!$N$5&lt;=B239,'641'!$O$5&gt;=B239),"641",""))))</f>
        <v/>
      </c>
      <c r="V239" s="49" t="str">
        <f>IF(OR(TH!L239=TH!$V$7,M239=TH!$V$7),"x","")</f>
        <v/>
      </c>
      <c r="W239" s="49" t="str">
        <f>IF(AND(B239&gt;='IN-NX'!$P$3,B239&lt;='IN-NX'!$Q$3,'IN-NX'!$D$7=D239,OR(LEFT(L239,2)="15",AND(LEFT(M239,2)&lt;&gt;"15",LEFT(M239,2)&lt;&gt;"33"))),"x","")</f>
        <v/>
      </c>
      <c r="X239" s="49" t="str">
        <f>IF(AND(OR(LEFT(TH!L239,2)="15",LEFT(TH!M239,2)="15"),'152-CT'!$J$8=TH!F239),"x","")</f>
        <v/>
      </c>
      <c r="Y239" s="49" t="str">
        <f>IF(AND(OR(LEFT(TH!L239,2)="15",LEFT(TH!M239,2)="15"),TK!$E$7=TH!F239),"x","")</f>
        <v/>
      </c>
      <c r="Z239" s="49" t="str">
        <f>IF(AND(B239&lt;=NKC!$N$8,B239&gt;=NKC!$M$8),"x","")</f>
        <v/>
      </c>
      <c r="AA239" s="723"/>
      <c r="AB239" s="497"/>
      <c r="AD239" s="497"/>
    </row>
    <row r="240" spans="1:30" s="199" customFormat="1" ht="15.75" customHeight="1">
      <c r="A240" s="724" t="str">
        <f>IF(B240&lt;&gt;"",IF(AND(B240&gt;=_TM1,B240&lt;=_TM2,OR(TH!L240="1111",TH!M240="1111")),TH!D240,""),"")</f>
        <v>C31</v>
      </c>
      <c r="B240" s="36">
        <f t="shared" si="13"/>
        <v>12</v>
      </c>
      <c r="C240" s="185">
        <f t="shared" si="14"/>
        <v>41274</v>
      </c>
      <c r="D240" s="178" t="s">
        <v>531</v>
      </c>
      <c r="E240" s="178">
        <v>41274</v>
      </c>
      <c r="F240" s="183" t="s">
        <v>438</v>
      </c>
      <c r="G240" s="732" t="s">
        <v>362</v>
      </c>
      <c r="H240" s="187" t="s">
        <v>463</v>
      </c>
      <c r="I240" s="247"/>
      <c r="J240" s="247"/>
      <c r="K240" s="505">
        <v>300000</v>
      </c>
      <c r="L240" s="188" t="s">
        <v>9</v>
      </c>
      <c r="M240" s="188" t="s">
        <v>47</v>
      </c>
      <c r="N240" s="49" t="str">
        <f>IF(AND('331-CT'!$E$7=TH!H240,OR(L240="331",M240="331")),"331",IF(AND(OR(L240="131",M240="131"),H240='131-CT'!$E$7),"131",""))</f>
        <v/>
      </c>
      <c r="O240" s="49" t="str">
        <f>IF(AND($B240&gt;='111'!$N$11,$B240&lt;='111'!$O$11,OR($L240=$O$7,$M240=$O$7)),"x","")</f>
        <v>x</v>
      </c>
      <c r="P240" s="49" t="str">
        <f>IF(AND($L240=$O$7,$B240&lt;'111'!$N$11),"x","")</f>
        <v/>
      </c>
      <c r="Q240" s="49" t="str">
        <f>IF(AND($M240=$O$7,$B240&lt;'111'!$N$11),"x","")</f>
        <v/>
      </c>
      <c r="R240" s="49" t="str">
        <f>IF(ISERROR(FIND('112'!$M$9,G240,1)),"",IF((AND(FIND('112'!$M$9,G240,1)&gt;=1,$B240&gt;='112'!$N$8,$B240&lt;='112'!$O$8,OR($L240='112'!$I$6,$M240='112'!$I$6))),"x",""))</f>
        <v/>
      </c>
      <c r="S240" s="49" t="str">
        <f>IF(ISERROR(FIND('112'!$M$9,G240,1)),"",IF((AND(LEFT(G240,2)=LEFT('112'!$M$9,2),B240&lt;'112'!$N$8,$L240='112'!$I$6)),"x",""))</f>
        <v/>
      </c>
      <c r="T240" s="49" t="str">
        <f>IF(ISERROR(FIND('112'!$M$9,G240,1)),"",IF((AND(RIGHT(G240,2)=RIGHT('112'!$M$9,2),B240&lt;'112'!$N$8,$M240='112'!$I$6)),"x",""))</f>
        <v/>
      </c>
      <c r="U240" s="49" t="str">
        <f>IF(AND(L240="154",'154'!$O$5&lt;=B240,'154'!$P$5&gt;=B240),"154",IF(AND(L240="632",'632'!$L$5&lt;=B240,'632'!$M$5&gt;=B240),"632",IF(AND(L240="642",'642'!$N$5&lt;=B240,'642'!$O$5&gt;=B240),"642",IF(AND(L240="641",'641'!$N$5&lt;=B240,'641'!$O$5&gt;=B240),"641",""))))</f>
        <v/>
      </c>
      <c r="V240" s="49" t="str">
        <f>IF(OR(TH!L240=TH!$V$7,M240=TH!$V$7),"x","")</f>
        <v>x</v>
      </c>
      <c r="W240" s="49" t="str">
        <f>IF(AND(B240&gt;='IN-NX'!$P$3,B240&lt;='IN-NX'!$Q$3,'IN-NX'!$D$7=D240,OR(LEFT(L240,2)="15",AND(LEFT(M240,2)&lt;&gt;"15",LEFT(M240,2)&lt;&gt;"33"))),"x","")</f>
        <v/>
      </c>
      <c r="X240" s="49" t="str">
        <f>IF(AND(OR(LEFT(TH!L240,2)="15",LEFT(TH!M240,2)="15"),'152-CT'!$J$8=TH!F240),"x","")</f>
        <v/>
      </c>
      <c r="Y240" s="49" t="str">
        <f>IF(AND(OR(LEFT(TH!L240,2)="15",LEFT(TH!M240,2)="15"),TK!$E$7=TH!F240),"x","")</f>
        <v/>
      </c>
      <c r="Z240" s="49" t="str">
        <f>IF(AND(B240&lt;=NKC!$N$8,B240&gt;=NKC!$M$8),"x","")</f>
        <v/>
      </c>
      <c r="AA240" s="723">
        <v>12</v>
      </c>
      <c r="AB240" s="497"/>
      <c r="AC240" s="497"/>
      <c r="AD240" s="497"/>
    </row>
    <row r="241" spans="1:30" s="199" customFormat="1" ht="15.75" hidden="1" customHeight="1">
      <c r="A241" s="724" t="str">
        <f>IF(B241&lt;&gt;"",IF(AND(B241&gt;=_TM1,B241&lt;=_TM2,OR(TH!L241="1111",TH!M241="1111")),TH!D241,""),"")</f>
        <v>C32</v>
      </c>
      <c r="B241" s="36">
        <f t="shared" si="13"/>
        <v>12</v>
      </c>
      <c r="C241" s="185">
        <f t="shared" si="14"/>
        <v>41274</v>
      </c>
      <c r="D241" s="178" t="s">
        <v>532</v>
      </c>
      <c r="E241" s="178">
        <v>41274</v>
      </c>
      <c r="F241" s="183" t="s">
        <v>302</v>
      </c>
      <c r="G241" s="732" t="s">
        <v>469</v>
      </c>
      <c r="H241" s="187" t="s">
        <v>420</v>
      </c>
      <c r="I241" s="247"/>
      <c r="J241" s="247"/>
      <c r="K241" s="505">
        <v>1137500</v>
      </c>
      <c r="L241" s="506" t="s">
        <v>160</v>
      </c>
      <c r="M241" s="506" t="s">
        <v>47</v>
      </c>
      <c r="N241" s="49" t="str">
        <f>IF(AND('331-CT'!$E$7=TH!H241,OR(L241="331",M241="331")),"331",IF(AND(OR(L241="131",M241="131"),H241='131-CT'!$E$7),"131",""))</f>
        <v/>
      </c>
      <c r="O241" s="49" t="str">
        <f>IF(AND($B241&gt;='111'!$N$11,$B241&lt;='111'!$O$11,OR($L241=$O$7,$M241=$O$7)),"x","")</f>
        <v>x</v>
      </c>
      <c r="P241" s="49" t="str">
        <f>IF(AND($L241=$O$7,$B241&lt;'111'!$N$11),"x","")</f>
        <v/>
      </c>
      <c r="Q241" s="49" t="str">
        <f>IF(AND($M241=$O$7,$B241&lt;'111'!$N$11),"x","")</f>
        <v/>
      </c>
      <c r="R241" s="49" t="str">
        <f>IF(ISERROR(FIND('112'!$M$9,G241,1)),"",IF((AND(FIND('112'!$M$9,G241,1)&gt;=1,$B241&gt;='112'!$N$8,$B241&lt;='112'!$O$8,OR($L241='112'!$I$6,$M241='112'!$I$6))),"x",""))</f>
        <v/>
      </c>
      <c r="S241" s="49" t="str">
        <f>IF(ISERROR(FIND('112'!$M$9,G241,1)),"",IF((AND(LEFT(G241,2)=LEFT('112'!$M$9,2),B241&lt;'112'!$N$8,$L241='112'!$I$6)),"x",""))</f>
        <v/>
      </c>
      <c r="T241" s="49" t="str">
        <f>IF(ISERROR(FIND('112'!$M$9,G241,1)),"",IF((AND(RIGHT(G241,2)=RIGHT('112'!$M$9,2),B241&lt;'112'!$N$8,$M241='112'!$I$6)),"x",""))</f>
        <v/>
      </c>
      <c r="U241" s="49" t="str">
        <f>IF(AND(L241="154",'154'!$O$5&lt;=B241,'154'!$P$5&gt;=B241),"154",IF(AND(L241="632",'632'!$L$5&lt;=B241,'632'!$M$5&gt;=B241),"632",IF(AND(L241="642",'642'!$N$5&lt;=B241,'642'!$O$5&gt;=B241),"642",IF(AND(L241="641",'641'!$N$5&lt;=B241,'641'!$O$5&gt;=B241),"641",""))))</f>
        <v/>
      </c>
      <c r="V241" s="49" t="str">
        <f>IF(OR(TH!L241=TH!$V$7,M241=TH!$V$7),"x","")</f>
        <v/>
      </c>
      <c r="W241" s="49" t="str">
        <f>IF(AND(B241&gt;='IN-NX'!$P$3,B241&lt;='IN-NX'!$Q$3,'IN-NX'!$D$7=D241,OR(LEFT(L241,2)="15",AND(LEFT(M241,2)&lt;&gt;"15",LEFT(M241,2)&lt;&gt;"33"))),"x","")</f>
        <v/>
      </c>
      <c r="X241" s="49" t="str">
        <f>IF(AND(OR(LEFT(TH!L241,2)="15",LEFT(TH!M241,2)="15"),'152-CT'!$J$8=TH!F241),"x","")</f>
        <v/>
      </c>
      <c r="Y241" s="49" t="str">
        <f>IF(AND(OR(LEFT(TH!L241,2)="15",LEFT(TH!M241,2)="15"),TK!$E$7=TH!F241),"x","")</f>
        <v/>
      </c>
      <c r="Z241" s="49" t="str">
        <f>IF(AND(B241&lt;=NKC!$N$8,B241&gt;=NKC!$M$8),"x","")</f>
        <v/>
      </c>
      <c r="AA241" s="723"/>
      <c r="AB241" s="497"/>
      <c r="AD241" s="497"/>
    </row>
    <row r="242" spans="1:30" s="199" customFormat="1" ht="15.75" customHeight="1">
      <c r="A242" s="724" t="str">
        <f>IF(B242&lt;&gt;"",IF(AND(B242&gt;=_TM1,B242&lt;=_TM2,OR(TH!L242="1111",TH!M242="1111")),TH!D242,""),"")</f>
        <v/>
      </c>
      <c r="B242" s="36">
        <f t="shared" si="13"/>
        <v>12</v>
      </c>
      <c r="C242" s="185">
        <f t="shared" si="14"/>
        <v>41274</v>
      </c>
      <c r="D242" s="185" t="s">
        <v>271</v>
      </c>
      <c r="E242" s="185">
        <v>41274</v>
      </c>
      <c r="F242" s="186" t="s">
        <v>590</v>
      </c>
      <c r="G242" s="732"/>
      <c r="H242" s="187" t="s">
        <v>411</v>
      </c>
      <c r="I242" s="247"/>
      <c r="J242" s="247"/>
      <c r="K242" s="505">
        <v>959303</v>
      </c>
      <c r="L242" s="506" t="s">
        <v>9</v>
      </c>
      <c r="M242" s="506" t="s">
        <v>17</v>
      </c>
      <c r="N242" s="49" t="str">
        <f>IF(AND('331-CT'!$E$7=TH!H242,OR(L242="331",M242="331")),"331",IF(AND(OR(L242="131",M242="131"),H242='131-CT'!$E$7),"131",""))</f>
        <v/>
      </c>
      <c r="O242" s="49" t="str">
        <f>IF(AND($B242&gt;='111'!$N$11,$B242&lt;='111'!$O$11,OR($L242=$O$7,$M242=$O$7)),"x","")</f>
        <v/>
      </c>
      <c r="P242" s="49" t="str">
        <f>IF(AND($L242=$O$7,$B242&lt;'111'!$N$11),"x","")</f>
        <v/>
      </c>
      <c r="Q242" s="49" t="str">
        <f>IF(AND($M242=$O$7,$B242&lt;'111'!$N$11),"x","")</f>
        <v/>
      </c>
      <c r="R242" s="49" t="str">
        <f>IF(ISERROR(FIND('112'!$M$9,G242,1)),"",IF((AND(FIND('112'!$M$9,G242,1)&gt;=1,$B242&gt;='112'!$N$8,$B242&lt;='112'!$O$8,OR($L242='112'!$I$6,$M242='112'!$I$6))),"x",""))</f>
        <v/>
      </c>
      <c r="S242" s="49" t="str">
        <f>IF(ISERROR(FIND('112'!$M$9,G242,1)),"",IF((AND(LEFT(G242,2)=LEFT('112'!$M$9,2),B242&lt;'112'!$N$8,$L242='112'!$I$6)),"x",""))</f>
        <v/>
      </c>
      <c r="T242" s="49" t="str">
        <f>IF(ISERROR(FIND('112'!$M$9,G242,1)),"",IF((AND(RIGHT(G242,2)=RIGHT('112'!$M$9,2),B242&lt;'112'!$N$8,$M242='112'!$I$6)),"x",""))</f>
        <v/>
      </c>
      <c r="U242" s="49" t="str">
        <f>IF(AND(L242="154",'154'!$O$5&lt;=B242,'154'!$P$5&gt;=B242),"154",IF(AND(L242="632",'632'!$L$5&lt;=B242,'632'!$M$5&gt;=B242),"632",IF(AND(L242="642",'642'!$N$5&lt;=B242,'642'!$O$5&gt;=B242),"642",IF(AND(L242="641",'641'!$N$5&lt;=B242,'641'!$O$5&gt;=B242),"641",""))))</f>
        <v/>
      </c>
      <c r="V242" s="49" t="str">
        <f>IF(OR(TH!L242=TH!$V$7,M242=TH!$V$7),"x","")</f>
        <v>x</v>
      </c>
      <c r="W242" s="49" t="str">
        <f>IF(AND(B242&gt;='IN-NX'!$P$3,B242&lt;='IN-NX'!$Q$3,'IN-NX'!$D$7=D242,OR(LEFT(L242,2)="15",AND(LEFT(M242,2)&lt;&gt;"15",LEFT(M242,2)&lt;&gt;"33"))),"x","")</f>
        <v/>
      </c>
      <c r="X242" s="49" t="str">
        <f>IF(AND(OR(LEFT(TH!L242,2)="15",LEFT(TH!M242,2)="15"),'152-CT'!$J$8=TH!F242),"x","")</f>
        <v/>
      </c>
      <c r="Y242" s="49" t="str">
        <f>IF(AND(OR(LEFT(TH!L242,2)="15",LEFT(TH!M242,2)="15"),TK!$E$7=TH!F242),"x","")</f>
        <v/>
      </c>
      <c r="Z242" s="49" t="str">
        <f>IF(AND(B242&lt;=NKC!$N$8,B242&gt;=NKC!$M$8),"x","")</f>
        <v/>
      </c>
      <c r="AA242" s="723"/>
      <c r="AB242" s="497"/>
    </row>
    <row r="243" spans="1:30" s="199" customFormat="1" ht="15.75" hidden="1" customHeight="1">
      <c r="A243" s="724" t="str">
        <f>IF(B243&lt;&gt;"",IF(AND(B243&gt;=_TM1,B243&lt;=_TM2,OR(TH!L243="1111",TH!M243="1111")),TH!D243,""),"")</f>
        <v>C33</v>
      </c>
      <c r="B243" s="36">
        <f t="shared" si="13"/>
        <v>12</v>
      </c>
      <c r="C243" s="185">
        <f t="shared" si="14"/>
        <v>42368</v>
      </c>
      <c r="D243" s="178" t="s">
        <v>533</v>
      </c>
      <c r="E243" s="178">
        <v>42368</v>
      </c>
      <c r="F243" s="183" t="s">
        <v>363</v>
      </c>
      <c r="G243" s="732" t="s">
        <v>460</v>
      </c>
      <c r="H243" s="187" t="s">
        <v>459</v>
      </c>
      <c r="I243" s="247"/>
      <c r="J243" s="247"/>
      <c r="K243" s="505">
        <v>2545455</v>
      </c>
      <c r="L243" s="188" t="s">
        <v>83</v>
      </c>
      <c r="M243" s="188" t="s">
        <v>47</v>
      </c>
      <c r="N243" s="49" t="str">
        <f>IF(AND('331-CT'!$E$7=TH!H243,OR(L243="331",M243="331")),"331",IF(AND(OR(L243="131",M243="131"),H243='131-CT'!$E$7),"131",""))</f>
        <v/>
      </c>
      <c r="O243" s="49" t="str">
        <f>IF(AND($B243&gt;='111'!$N$11,$B243&lt;='111'!$O$11,OR($L243=$O$7,$M243=$O$7)),"x","")</f>
        <v>x</v>
      </c>
      <c r="P243" s="49" t="str">
        <f>IF(AND($L243=$O$7,$B243&lt;'111'!$N$11),"x","")</f>
        <v/>
      </c>
      <c r="Q243" s="49" t="str">
        <f>IF(AND($M243=$O$7,$B243&lt;'111'!$N$11),"x","")</f>
        <v/>
      </c>
      <c r="R243" s="49" t="str">
        <f>IF(ISERROR(FIND('112'!$M$9,G243,1)),"",IF((AND(FIND('112'!$M$9,G243,1)&gt;=1,$B243&gt;='112'!$N$8,$B243&lt;='112'!$O$8,OR($L243='112'!$I$6,$M243='112'!$I$6))),"x",""))</f>
        <v/>
      </c>
      <c r="S243" s="49" t="str">
        <f>IF(ISERROR(FIND('112'!$M$9,G243,1)),"",IF((AND(LEFT(G243,2)=LEFT('112'!$M$9,2),B243&lt;'112'!$N$8,$L243='112'!$I$6)),"x",""))</f>
        <v/>
      </c>
      <c r="T243" s="49" t="str">
        <f>IF(ISERROR(FIND('112'!$M$9,G243,1)),"",IF((AND(RIGHT(G243,2)=RIGHT('112'!$M$9,2),B243&lt;'112'!$N$8,$M243='112'!$I$6)),"x",""))</f>
        <v/>
      </c>
      <c r="U243" s="49" t="str">
        <f>IF(AND(L243="154",'154'!$O$5&lt;=B243,'154'!$P$5&gt;=B243),"154",IF(AND(L243="632",'632'!$L$5&lt;=B243,'632'!$M$5&gt;=B243),"632",IF(AND(L243="642",'642'!$N$5&lt;=B243,'642'!$O$5&gt;=B243),"642",IF(AND(L243="641",'641'!$N$5&lt;=B243,'641'!$O$5&gt;=B243),"641",""))))</f>
        <v/>
      </c>
      <c r="V243" s="49" t="str">
        <f>IF(OR(TH!L243=TH!$V$7,M243=TH!$V$7),"x","")</f>
        <v/>
      </c>
      <c r="W243" s="49" t="str">
        <f>IF(AND(B243&gt;='IN-NX'!$P$3,B243&lt;='IN-NX'!$Q$3,'IN-NX'!$D$7=D243,OR(LEFT(L243,2)="15",AND(LEFT(M243,2)&lt;&gt;"15",LEFT(M243,2)&lt;&gt;"33"))),"x","")</f>
        <v/>
      </c>
      <c r="X243" s="49" t="str">
        <f>IF(AND(OR(LEFT(TH!L243,2)="15",LEFT(TH!M243,2)="15"),'152-CT'!$J$8=TH!F243),"x","")</f>
        <v/>
      </c>
      <c r="Y243" s="49" t="str">
        <f>IF(AND(OR(LEFT(TH!L243,2)="15",LEFT(TH!M243,2)="15"),TK!$E$7=TH!F243),"x","")</f>
        <v/>
      </c>
      <c r="Z243" s="49" t="str">
        <f>IF(AND(B243&lt;=NKC!$N$8,B243&gt;=NKC!$M$8),"x","")</f>
        <v/>
      </c>
      <c r="AA243" s="723"/>
      <c r="AB243" s="497"/>
      <c r="AC243" s="497"/>
      <c r="AD243" s="497"/>
    </row>
    <row r="244" spans="1:30" s="199" customFormat="1" ht="15.75" customHeight="1">
      <c r="A244" s="724" t="str">
        <f>IF(B244&lt;&gt;"",IF(AND(B244&gt;=_TM1,B244&lt;=_TM2,OR(TH!L244="1111",TH!M244="1111")),TH!D244,""),"")</f>
        <v>C33</v>
      </c>
      <c r="B244" s="36">
        <f t="shared" si="13"/>
        <v>12</v>
      </c>
      <c r="C244" s="185">
        <f t="shared" si="14"/>
        <v>42368</v>
      </c>
      <c r="D244" s="178" t="s">
        <v>533</v>
      </c>
      <c r="E244" s="178">
        <v>42368</v>
      </c>
      <c r="F244" s="183" t="s">
        <v>364</v>
      </c>
      <c r="G244" s="732" t="s">
        <v>460</v>
      </c>
      <c r="H244" s="187" t="s">
        <v>459</v>
      </c>
      <c r="I244" s="247"/>
      <c r="J244" s="247"/>
      <c r="K244" s="505">
        <v>254545</v>
      </c>
      <c r="L244" s="188" t="s">
        <v>9</v>
      </c>
      <c r="M244" s="188" t="s">
        <v>47</v>
      </c>
      <c r="N244" s="49" t="str">
        <f>IF(AND('331-CT'!$E$7=TH!H244,OR(L244="331",M244="331")),"331",IF(AND(OR(L244="131",M244="131"),H244='131-CT'!$E$7),"131",""))</f>
        <v/>
      </c>
      <c r="O244" s="49" t="str">
        <f>IF(AND($B244&gt;='111'!$N$11,$B244&lt;='111'!$O$11,OR($L244=$O$7,$M244=$O$7)),"x","")</f>
        <v>x</v>
      </c>
      <c r="P244" s="49" t="str">
        <f>IF(AND($L244=$O$7,$B244&lt;'111'!$N$11),"x","")</f>
        <v/>
      </c>
      <c r="Q244" s="49" t="str">
        <f>IF(AND($M244=$O$7,$B244&lt;'111'!$N$11),"x","")</f>
        <v/>
      </c>
      <c r="R244" s="49" t="str">
        <f>IF(ISERROR(FIND('112'!$M$9,G244,1)),"",IF((AND(FIND('112'!$M$9,G244,1)&gt;=1,$B244&gt;='112'!$N$8,$B244&lt;='112'!$O$8,OR($L244='112'!$I$6,$M244='112'!$I$6))),"x",""))</f>
        <v/>
      </c>
      <c r="S244" s="49" t="str">
        <f>IF(ISERROR(FIND('112'!$M$9,G244,1)),"",IF((AND(LEFT(G244,2)=LEFT('112'!$M$9,2),B244&lt;'112'!$N$8,$L244='112'!$I$6)),"x",""))</f>
        <v/>
      </c>
      <c r="T244" s="49" t="str">
        <f>IF(ISERROR(FIND('112'!$M$9,G244,1)),"",IF((AND(RIGHT(G244,2)=RIGHT('112'!$M$9,2),B244&lt;'112'!$N$8,$M244='112'!$I$6)),"x",""))</f>
        <v/>
      </c>
      <c r="U244" s="49" t="str">
        <f>IF(AND(L244="154",'154'!$O$5&lt;=B244,'154'!$P$5&gt;=B244),"154",IF(AND(L244="632",'632'!$L$5&lt;=B244,'632'!$M$5&gt;=B244),"632",IF(AND(L244="642",'642'!$N$5&lt;=B244,'642'!$O$5&gt;=B244),"642",IF(AND(L244="641",'641'!$N$5&lt;=B244,'641'!$O$5&gt;=B244),"641",""))))</f>
        <v/>
      </c>
      <c r="V244" s="49" t="str">
        <f>IF(OR(TH!L244=TH!$V$7,M244=TH!$V$7),"x","")</f>
        <v>x</v>
      </c>
      <c r="W244" s="49" t="str">
        <f>IF(AND(B244&gt;='IN-NX'!$P$3,B244&lt;='IN-NX'!$Q$3,'IN-NX'!$D$7=D244,OR(LEFT(L244,2)="15",AND(LEFT(M244,2)&lt;&gt;"15",LEFT(M244,2)&lt;&gt;"33"))),"x","")</f>
        <v/>
      </c>
      <c r="X244" s="49" t="str">
        <f>IF(AND(OR(LEFT(TH!L244,2)="15",LEFT(TH!M244,2)="15"),'152-CT'!$J$8=TH!F244),"x","")</f>
        <v/>
      </c>
      <c r="Y244" s="49" t="str">
        <f>IF(AND(OR(LEFT(TH!L244,2)="15",LEFT(TH!M244,2)="15"),TK!$E$7=TH!F244),"x","")</f>
        <v/>
      </c>
      <c r="Z244" s="49" t="str">
        <f>IF(AND(B244&lt;=NKC!$N$8,B244&gt;=NKC!$M$8),"x","")</f>
        <v/>
      </c>
      <c r="AA244" s="723">
        <v>12</v>
      </c>
      <c r="AB244" s="497"/>
      <c r="AC244" s="497"/>
      <c r="AD244" s="497"/>
    </row>
    <row r="245" spans="1:30" s="199" customFormat="1" ht="15.75" hidden="1" customHeight="1">
      <c r="A245" s="724" t="str">
        <f>IF(B245&lt;&gt;"",IF(AND(B245&gt;=_TM1,B245&lt;=_TM2,OR(TH!L245="1111",TH!M245="1111")),TH!D245,""),"")</f>
        <v/>
      </c>
      <c r="B245" s="36">
        <f t="shared" ref="B245:B291" si="15">IF(C245&lt;&gt;"",MONTH(C245),"")</f>
        <v>12</v>
      </c>
      <c r="C245" s="185">
        <f t="shared" ref="C245:C304" si="16">E245</f>
        <v>41274</v>
      </c>
      <c r="D245" s="185" t="s">
        <v>592</v>
      </c>
      <c r="E245" s="185">
        <v>41274</v>
      </c>
      <c r="F245" s="186" t="s">
        <v>451</v>
      </c>
      <c r="G245" s="732"/>
      <c r="H245" s="187" t="s">
        <v>627</v>
      </c>
      <c r="I245" s="247">
        <v>800</v>
      </c>
      <c r="J245" s="247">
        <v>11693</v>
      </c>
      <c r="K245" s="505">
        <f>ROUND(I245*J245,0)</f>
        <v>9354400</v>
      </c>
      <c r="L245" s="506" t="s">
        <v>160</v>
      </c>
      <c r="M245" s="506" t="s">
        <v>375</v>
      </c>
      <c r="N245" s="49" t="str">
        <f>IF(AND('331-CT'!$E$7=TH!H245,OR(L245="331",M245="331")),"331",IF(AND(OR(L245="131",M245="131"),H245='131-CT'!$E$7),"131",""))</f>
        <v/>
      </c>
      <c r="O245" s="49" t="str">
        <f>IF(AND($B245&gt;='111'!$N$11,$B245&lt;='111'!$O$11,OR($L245=$O$7,$M245=$O$7)),"x","")</f>
        <v/>
      </c>
      <c r="P245" s="49" t="str">
        <f>IF(AND($L245=$O$7,$B245&lt;'111'!$N$11),"x","")</f>
        <v/>
      </c>
      <c r="Q245" s="49" t="str">
        <f>IF(AND($M245=$O$7,$B245&lt;'111'!$N$11),"x","")</f>
        <v/>
      </c>
      <c r="R245" s="49" t="str">
        <f>IF(ISERROR(FIND('112'!$M$9,G245,1)),"",IF((AND(FIND('112'!$M$9,G245,1)&gt;=1,$B245&gt;='112'!$N$8,$B245&lt;='112'!$O$8,OR($L245='112'!$I$6,$M245='112'!$I$6))),"x",""))</f>
        <v/>
      </c>
      <c r="S245" s="49" t="str">
        <f>IF(ISERROR(FIND('112'!$M$9,G245,1)),"",IF((AND(LEFT(G245,2)=LEFT('112'!$M$9,2),B245&lt;'112'!$N$8,$L245='112'!$I$6)),"x",""))</f>
        <v/>
      </c>
      <c r="T245" s="49" t="str">
        <f>IF(ISERROR(FIND('112'!$M$9,G245,1)),"",IF((AND(RIGHT(G245,2)=RIGHT('112'!$M$9,2),B245&lt;'112'!$N$8,$M245='112'!$I$6)),"x",""))</f>
        <v/>
      </c>
      <c r="U245" s="49" t="str">
        <f>IF(AND(L245="154",'154'!$O$5&lt;=B245,'154'!$P$5&gt;=B245),"154",IF(AND(L245="632",'632'!$L$5&lt;=B245,'632'!$M$5&gt;=B245),"632",IF(AND(L245="642",'642'!$N$5&lt;=B245,'642'!$O$5&gt;=B245),"642",IF(AND(L245="641",'641'!$N$5&lt;=B245,'641'!$O$5&gt;=B245),"641",""))))</f>
        <v/>
      </c>
      <c r="V245" s="49" t="str">
        <f>IF(OR(TH!L245=TH!$V$7,M245=TH!$V$7),"x","")</f>
        <v/>
      </c>
      <c r="W245" s="49" t="str">
        <f>IF(AND(B245&gt;='IN-NX'!$P$3,B245&lt;='IN-NX'!$Q$3,'IN-NX'!$D$7=D245,OR(LEFT(L245,2)="15",AND(LEFT(M245,2)&lt;&gt;"15",LEFT(M245,2)&lt;&gt;"33"))),"x","")</f>
        <v/>
      </c>
      <c r="X245" s="49" t="str">
        <f>IF(AND(OR(LEFT(TH!L245,2)="15",LEFT(TH!M245,2)="15"),'152-CT'!$J$8=TH!F245),"x","")</f>
        <v/>
      </c>
      <c r="Y245" s="49" t="str">
        <f>IF(AND(OR(LEFT(TH!L245,2)="15",LEFT(TH!M245,2)="15"),TK!$E$7=TH!F245),"x","")</f>
        <v/>
      </c>
      <c r="Z245" s="49" t="str">
        <f>IF(AND(B245&lt;=NKC!$N$8,B245&gt;=NKC!$M$8),"x","")</f>
        <v/>
      </c>
      <c r="AA245" s="723"/>
      <c r="AB245" s="497"/>
    </row>
    <row r="246" spans="1:30" s="199" customFormat="1" ht="15.75" hidden="1" customHeight="1">
      <c r="A246" s="724" t="str">
        <f>IF(B246&lt;&gt;"",IF(AND(B246&gt;=_TM1,B246&lt;=_TM2,OR(TH!L246="1111",TH!M246="1111")),TH!D246,""),"")</f>
        <v/>
      </c>
      <c r="B246" s="36">
        <f t="shared" si="15"/>
        <v>12</v>
      </c>
      <c r="C246" s="185">
        <f t="shared" si="16"/>
        <v>41274</v>
      </c>
      <c r="D246" s="185" t="s">
        <v>592</v>
      </c>
      <c r="E246" s="185">
        <v>41274</v>
      </c>
      <c r="F246" s="186" t="s">
        <v>452</v>
      </c>
      <c r="G246" s="732"/>
      <c r="H246" s="187" t="s">
        <v>627</v>
      </c>
      <c r="I246" s="247">
        <v>60</v>
      </c>
      <c r="J246" s="247">
        <v>19110</v>
      </c>
      <c r="K246" s="505">
        <f t="shared" ref="K246:K271" si="17">ROUND(I246*J246,0)</f>
        <v>1146600</v>
      </c>
      <c r="L246" s="506" t="s">
        <v>160</v>
      </c>
      <c r="M246" s="506" t="s">
        <v>375</v>
      </c>
      <c r="N246" s="49" t="str">
        <f>IF(AND('331-CT'!$E$7=TH!H246,OR(L246="331",M246="331")),"331",IF(AND(OR(L246="131",M246="131"),H246='131-CT'!$E$7),"131",""))</f>
        <v/>
      </c>
      <c r="O246" s="49" t="str">
        <f>IF(AND($B246&gt;='111'!$N$11,$B246&lt;='111'!$O$11,OR($L246=$O$7,$M246=$O$7)),"x","")</f>
        <v/>
      </c>
      <c r="P246" s="49" t="str">
        <f>IF(AND($L246=$O$7,$B246&lt;'111'!$N$11),"x","")</f>
        <v/>
      </c>
      <c r="Q246" s="49" t="str">
        <f>IF(AND($M246=$O$7,$B246&lt;'111'!$N$11),"x","")</f>
        <v/>
      </c>
      <c r="R246" s="49" t="str">
        <f>IF(ISERROR(FIND('112'!$M$9,G246,1)),"",IF((AND(FIND('112'!$M$9,G246,1)&gt;=1,$B246&gt;='112'!$N$8,$B246&lt;='112'!$O$8,OR($L246='112'!$I$6,$M246='112'!$I$6))),"x",""))</f>
        <v/>
      </c>
      <c r="S246" s="49" t="str">
        <f>IF(ISERROR(FIND('112'!$M$9,G246,1)),"",IF((AND(LEFT(G246,2)=LEFT('112'!$M$9,2),B246&lt;'112'!$N$8,$L246='112'!$I$6)),"x",""))</f>
        <v/>
      </c>
      <c r="T246" s="49" t="str">
        <f>IF(ISERROR(FIND('112'!$M$9,G246,1)),"",IF((AND(RIGHT(G246,2)=RIGHT('112'!$M$9,2),B246&lt;'112'!$N$8,$M246='112'!$I$6)),"x",""))</f>
        <v/>
      </c>
      <c r="U246" s="49" t="str">
        <f>IF(AND(L246="154",'154'!$O$5&lt;=B246,'154'!$P$5&gt;=B246),"154",IF(AND(L246="632",'632'!$L$5&lt;=B246,'632'!$M$5&gt;=B246),"632",IF(AND(L246="642",'642'!$N$5&lt;=B246,'642'!$O$5&gt;=B246),"642",IF(AND(L246="641",'641'!$N$5&lt;=B246,'641'!$O$5&gt;=B246),"641",""))))</f>
        <v/>
      </c>
      <c r="V246" s="49" t="str">
        <f>IF(OR(TH!L246=TH!$V$7,M246=TH!$V$7),"x","")</f>
        <v/>
      </c>
      <c r="W246" s="49" t="str">
        <f>IF(AND(B246&gt;='IN-NX'!$P$3,B246&lt;='IN-NX'!$Q$3,'IN-NX'!$D$7=D246,OR(LEFT(L246,2)="15",AND(LEFT(M246,2)&lt;&gt;"15",LEFT(M246,2)&lt;&gt;"33"))),"x","")</f>
        <v/>
      </c>
      <c r="X246" s="49" t="str">
        <f>IF(AND(OR(LEFT(TH!L246,2)="15",LEFT(TH!M246,2)="15"),'152-CT'!$J$8=TH!F246),"x","")</f>
        <v/>
      </c>
      <c r="Y246" s="49" t="str">
        <f>IF(AND(OR(LEFT(TH!L246,2)="15",LEFT(TH!M246,2)="15"),TK!$E$7=TH!F246),"x","")</f>
        <v/>
      </c>
      <c r="Z246" s="49" t="str">
        <f>IF(AND(B246&lt;=NKC!$N$8,B246&gt;=NKC!$M$8),"x","")</f>
        <v/>
      </c>
      <c r="AA246" s="723"/>
      <c r="AB246" s="497"/>
    </row>
    <row r="247" spans="1:30" s="199" customFormat="1" ht="15.75" hidden="1" customHeight="1">
      <c r="A247" s="724" t="str">
        <f>IF(B247&lt;&gt;"",IF(AND(B247&gt;=_TM1,B247&lt;=_TM2,OR(TH!L247="1111",TH!M247="1111")),TH!D247,""),"")</f>
        <v/>
      </c>
      <c r="B247" s="36">
        <f t="shared" si="15"/>
        <v>12</v>
      </c>
      <c r="C247" s="185">
        <f t="shared" si="16"/>
        <v>41274</v>
      </c>
      <c r="D247" s="185" t="s">
        <v>592</v>
      </c>
      <c r="E247" s="185">
        <v>41274</v>
      </c>
      <c r="F247" s="186" t="s">
        <v>426</v>
      </c>
      <c r="G247" s="732"/>
      <c r="H247" s="187" t="s">
        <v>627</v>
      </c>
      <c r="I247" s="247">
        <v>1101</v>
      </c>
      <c r="J247" s="247">
        <v>12750</v>
      </c>
      <c r="K247" s="505">
        <f t="shared" si="17"/>
        <v>14037750</v>
      </c>
      <c r="L247" s="506" t="s">
        <v>160</v>
      </c>
      <c r="M247" s="506" t="s">
        <v>375</v>
      </c>
      <c r="N247" s="49" t="str">
        <f>IF(AND('331-CT'!$E$7=TH!H247,OR(L247="331",M247="331")),"331",IF(AND(OR(L247="131",M247="131"),H247='131-CT'!$E$7),"131",""))</f>
        <v/>
      </c>
      <c r="O247" s="49" t="str">
        <f>IF(AND($B247&gt;='111'!$N$11,$B247&lt;='111'!$O$11,OR($L247=$O$7,$M247=$O$7)),"x","")</f>
        <v/>
      </c>
      <c r="P247" s="49" t="str">
        <f>IF(AND($L247=$O$7,$B247&lt;'111'!$N$11),"x","")</f>
        <v/>
      </c>
      <c r="Q247" s="49" t="str">
        <f>IF(AND($M247=$O$7,$B247&lt;'111'!$N$11),"x","")</f>
        <v/>
      </c>
      <c r="R247" s="49" t="str">
        <f>IF(ISERROR(FIND('112'!$M$9,G247,1)),"",IF((AND(FIND('112'!$M$9,G247,1)&gt;=1,$B247&gt;='112'!$N$8,$B247&lt;='112'!$O$8,OR($L247='112'!$I$6,$M247='112'!$I$6))),"x",""))</f>
        <v/>
      </c>
      <c r="S247" s="49" t="str">
        <f>IF(ISERROR(FIND('112'!$M$9,G247,1)),"",IF((AND(LEFT(G247,2)=LEFT('112'!$M$9,2),B247&lt;'112'!$N$8,$L247='112'!$I$6)),"x",""))</f>
        <v/>
      </c>
      <c r="T247" s="49" t="str">
        <f>IF(ISERROR(FIND('112'!$M$9,G247,1)),"",IF((AND(RIGHT(G247,2)=RIGHT('112'!$M$9,2),B247&lt;'112'!$N$8,$M247='112'!$I$6)),"x",""))</f>
        <v/>
      </c>
      <c r="U247" s="49" t="str">
        <f>IF(AND(L247="154",'154'!$O$5&lt;=B247,'154'!$P$5&gt;=B247),"154",IF(AND(L247="632",'632'!$L$5&lt;=B247,'632'!$M$5&gt;=B247),"632",IF(AND(L247="642",'642'!$N$5&lt;=B247,'642'!$O$5&gt;=B247),"642",IF(AND(L247="641",'641'!$N$5&lt;=B247,'641'!$O$5&gt;=B247),"641",""))))</f>
        <v/>
      </c>
      <c r="V247" s="49" t="str">
        <f>IF(OR(TH!L247=TH!$V$7,M247=TH!$V$7),"x","")</f>
        <v/>
      </c>
      <c r="W247" s="49" t="str">
        <f>IF(AND(B247&gt;='IN-NX'!$P$3,B247&lt;='IN-NX'!$Q$3,'IN-NX'!$D$7=D247,OR(LEFT(L247,2)="15",AND(LEFT(M247,2)&lt;&gt;"15",LEFT(M247,2)&lt;&gt;"33"))),"x","")</f>
        <v/>
      </c>
      <c r="X247" s="49" t="str">
        <f>IF(AND(OR(LEFT(TH!L247,2)="15",LEFT(TH!M247,2)="15"),'152-CT'!$J$8=TH!F247),"x","")</f>
        <v/>
      </c>
      <c r="Y247" s="49" t="str">
        <f>IF(AND(OR(LEFT(TH!L247,2)="15",LEFT(TH!M247,2)="15"),TK!$E$7=TH!F247),"x","")</f>
        <v/>
      </c>
      <c r="Z247" s="49" t="str">
        <f>IF(AND(B247&lt;=NKC!$N$8,B247&gt;=NKC!$M$8),"x","")</f>
        <v/>
      </c>
      <c r="AA247" s="723"/>
      <c r="AB247" s="497"/>
    </row>
    <row r="248" spans="1:30" s="199" customFormat="1" ht="15.75" hidden="1" customHeight="1">
      <c r="A248" s="724" t="str">
        <f>IF(B248&lt;&gt;"",IF(AND(B248&gt;=_TM1,B248&lt;=_TM2,OR(TH!L248="1111",TH!M248="1111")),TH!D248,""),"")</f>
        <v/>
      </c>
      <c r="B248" s="36">
        <f t="shared" si="15"/>
        <v>12</v>
      </c>
      <c r="C248" s="185">
        <f t="shared" si="16"/>
        <v>41274</v>
      </c>
      <c r="D248" s="185" t="s">
        <v>592</v>
      </c>
      <c r="E248" s="185">
        <v>41274</v>
      </c>
      <c r="F248" s="186" t="s">
        <v>465</v>
      </c>
      <c r="G248" s="732"/>
      <c r="H248" s="187" t="s">
        <v>627</v>
      </c>
      <c r="I248" s="247">
        <v>400</v>
      </c>
      <c r="J248" s="247">
        <v>11532</v>
      </c>
      <c r="K248" s="505">
        <f t="shared" si="17"/>
        <v>4612800</v>
      </c>
      <c r="L248" s="506" t="s">
        <v>160</v>
      </c>
      <c r="M248" s="506" t="s">
        <v>375</v>
      </c>
      <c r="N248" s="49" t="str">
        <f>IF(AND('331-CT'!$E$7=TH!H248,OR(L248="331",M248="331")),"331",IF(AND(OR(L248="131",M248="131"),H248='131-CT'!$E$7),"131",""))</f>
        <v/>
      </c>
      <c r="O248" s="49" t="str">
        <f>IF(AND($B248&gt;='111'!$N$11,$B248&lt;='111'!$O$11,OR($L248=$O$7,$M248=$O$7)),"x","")</f>
        <v/>
      </c>
      <c r="P248" s="49" t="str">
        <f>IF(AND($L248=$O$7,$B248&lt;'111'!$N$11),"x","")</f>
        <v/>
      </c>
      <c r="Q248" s="49" t="str">
        <f>IF(AND($M248=$O$7,$B248&lt;'111'!$N$11),"x","")</f>
        <v/>
      </c>
      <c r="R248" s="49" t="str">
        <f>IF(ISERROR(FIND('112'!$M$9,G248,1)),"",IF((AND(FIND('112'!$M$9,G248,1)&gt;=1,$B248&gt;='112'!$N$8,$B248&lt;='112'!$O$8,OR($L248='112'!$I$6,$M248='112'!$I$6))),"x",""))</f>
        <v/>
      </c>
      <c r="S248" s="49" t="str">
        <f>IF(ISERROR(FIND('112'!$M$9,G248,1)),"",IF((AND(LEFT(G248,2)=LEFT('112'!$M$9,2),B248&lt;'112'!$N$8,$L248='112'!$I$6)),"x",""))</f>
        <v/>
      </c>
      <c r="T248" s="49" t="str">
        <f>IF(ISERROR(FIND('112'!$M$9,G248,1)),"",IF((AND(RIGHT(G248,2)=RIGHT('112'!$M$9,2),B248&lt;'112'!$N$8,$M248='112'!$I$6)),"x",""))</f>
        <v/>
      </c>
      <c r="U248" s="49" t="str">
        <f>IF(AND(L248="154",'154'!$O$5&lt;=B248,'154'!$P$5&gt;=B248),"154",IF(AND(L248="632",'632'!$L$5&lt;=B248,'632'!$M$5&gt;=B248),"632",IF(AND(L248="642",'642'!$N$5&lt;=B248,'642'!$O$5&gt;=B248),"642",IF(AND(L248="641",'641'!$N$5&lt;=B248,'641'!$O$5&gt;=B248),"641",""))))</f>
        <v/>
      </c>
      <c r="V248" s="49" t="str">
        <f>IF(OR(TH!L248=TH!$V$7,M248=TH!$V$7),"x","")</f>
        <v/>
      </c>
      <c r="W248" s="49" t="str">
        <f>IF(AND(B248&gt;='IN-NX'!$P$3,B248&lt;='IN-NX'!$Q$3,'IN-NX'!$D$7=D248,OR(LEFT(L248,2)="15",AND(LEFT(M248,2)&lt;&gt;"15",LEFT(M248,2)&lt;&gt;"33"))),"x","")</f>
        <v/>
      </c>
      <c r="X248" s="49" t="str">
        <f>IF(AND(OR(LEFT(TH!L248,2)="15",LEFT(TH!M248,2)="15"),'152-CT'!$J$8=TH!F248),"x","")</f>
        <v/>
      </c>
      <c r="Y248" s="49" t="str">
        <f>IF(AND(OR(LEFT(TH!L248,2)="15",LEFT(TH!M248,2)="15"),TK!$E$7=TH!F248),"x","")</f>
        <v/>
      </c>
      <c r="Z248" s="49" t="str">
        <f>IF(AND(B248&lt;=NKC!$N$8,B248&gt;=NKC!$M$8),"x","")</f>
        <v/>
      </c>
      <c r="AA248" s="723"/>
      <c r="AB248" s="497"/>
    </row>
    <row r="249" spans="1:30" s="199" customFormat="1" ht="15.75" hidden="1" customHeight="1">
      <c r="A249" s="724" t="str">
        <f>IF(B249&lt;&gt;"",IF(AND(B249&gt;=_TM1,B249&lt;=_TM2,OR(TH!L249="1111",TH!M249="1111")),TH!D249,""),"")</f>
        <v/>
      </c>
      <c r="B249" s="36">
        <f t="shared" si="15"/>
        <v>12</v>
      </c>
      <c r="C249" s="185">
        <f t="shared" si="16"/>
        <v>41274</v>
      </c>
      <c r="D249" s="185" t="s">
        <v>592</v>
      </c>
      <c r="E249" s="185">
        <v>41274</v>
      </c>
      <c r="F249" s="186" t="s">
        <v>423</v>
      </c>
      <c r="G249" s="732"/>
      <c r="H249" s="187" t="s">
        <v>627</v>
      </c>
      <c r="I249" s="247">
        <v>100</v>
      </c>
      <c r="J249" s="247">
        <v>13020</v>
      </c>
      <c r="K249" s="505">
        <f t="shared" si="17"/>
        <v>1302000</v>
      </c>
      <c r="L249" s="506" t="s">
        <v>160</v>
      </c>
      <c r="M249" s="506" t="s">
        <v>375</v>
      </c>
      <c r="N249" s="49" t="str">
        <f>IF(AND('331-CT'!$E$7=TH!H249,OR(L249="331",M249="331")),"331",IF(AND(OR(L249="131",M249="131"),H249='131-CT'!$E$7),"131",""))</f>
        <v/>
      </c>
      <c r="O249" s="49" t="str">
        <f>IF(AND($B249&gt;='111'!$N$11,$B249&lt;='111'!$O$11,OR($L249=$O$7,$M249=$O$7)),"x","")</f>
        <v/>
      </c>
      <c r="P249" s="49" t="str">
        <f>IF(AND($L249=$O$7,$B249&lt;'111'!$N$11),"x","")</f>
        <v/>
      </c>
      <c r="Q249" s="49" t="str">
        <f>IF(AND($M249=$O$7,$B249&lt;'111'!$N$11),"x","")</f>
        <v/>
      </c>
      <c r="R249" s="49" t="str">
        <f>IF(ISERROR(FIND('112'!$M$9,G249,1)),"",IF((AND(FIND('112'!$M$9,G249,1)&gt;=1,$B249&gt;='112'!$N$8,$B249&lt;='112'!$O$8,OR($L249='112'!$I$6,$M249='112'!$I$6))),"x",""))</f>
        <v/>
      </c>
      <c r="S249" s="49" t="str">
        <f>IF(ISERROR(FIND('112'!$M$9,G249,1)),"",IF((AND(LEFT(G249,2)=LEFT('112'!$M$9,2),B249&lt;'112'!$N$8,$L249='112'!$I$6)),"x",""))</f>
        <v/>
      </c>
      <c r="T249" s="49" t="str">
        <f>IF(ISERROR(FIND('112'!$M$9,G249,1)),"",IF((AND(RIGHT(G249,2)=RIGHT('112'!$M$9,2),B249&lt;'112'!$N$8,$M249='112'!$I$6)),"x",""))</f>
        <v/>
      </c>
      <c r="U249" s="49" t="str">
        <f>IF(AND(L249="154",'154'!$O$5&lt;=B249,'154'!$P$5&gt;=B249),"154",IF(AND(L249="632",'632'!$L$5&lt;=B249,'632'!$M$5&gt;=B249),"632",IF(AND(L249="642",'642'!$N$5&lt;=B249,'642'!$O$5&gt;=B249),"642",IF(AND(L249="641",'641'!$N$5&lt;=B249,'641'!$O$5&gt;=B249),"641",""))))</f>
        <v/>
      </c>
      <c r="V249" s="49" t="str">
        <f>IF(OR(TH!L249=TH!$V$7,M249=TH!$V$7),"x","")</f>
        <v/>
      </c>
      <c r="W249" s="49" t="str">
        <f>IF(AND(B249&gt;='IN-NX'!$P$3,B249&lt;='IN-NX'!$Q$3,'IN-NX'!$D$7=D249,OR(LEFT(L249,2)="15",AND(LEFT(M249,2)&lt;&gt;"15",LEFT(M249,2)&lt;&gt;"33"))),"x","")</f>
        <v/>
      </c>
      <c r="X249" s="49" t="str">
        <f>IF(AND(OR(LEFT(TH!L249,2)="15",LEFT(TH!M249,2)="15"),'152-CT'!$J$8=TH!F249),"x","")</f>
        <v/>
      </c>
      <c r="Y249" s="49" t="str">
        <f>IF(AND(OR(LEFT(TH!L249,2)="15",LEFT(TH!M249,2)="15"),TK!$E$7=TH!F249),"x","")</f>
        <v/>
      </c>
      <c r="Z249" s="49" t="str">
        <f>IF(AND(B249&lt;=NKC!$N$8,B249&gt;=NKC!$M$8),"x","")</f>
        <v/>
      </c>
      <c r="AA249" s="723"/>
      <c r="AB249" s="497"/>
    </row>
    <row r="250" spans="1:30" s="199" customFormat="1" ht="15.75" hidden="1" customHeight="1">
      <c r="A250" s="724" t="str">
        <f>IF(B250&lt;&gt;"",IF(AND(B250&gt;=_TM1,B250&lt;=_TM2,OR(TH!L250="1111",TH!M250="1111")),TH!D250,""),"")</f>
        <v/>
      </c>
      <c r="B250" s="36">
        <f t="shared" si="15"/>
        <v>12</v>
      </c>
      <c r="C250" s="185">
        <f t="shared" si="16"/>
        <v>41274</v>
      </c>
      <c r="D250" s="185" t="s">
        <v>592</v>
      </c>
      <c r="E250" s="185">
        <v>41274</v>
      </c>
      <c r="F250" s="186" t="s">
        <v>423</v>
      </c>
      <c r="G250" s="732"/>
      <c r="H250" s="187" t="s">
        <v>627</v>
      </c>
      <c r="I250" s="247">
        <v>40</v>
      </c>
      <c r="J250" s="247">
        <v>13020</v>
      </c>
      <c r="K250" s="505">
        <f t="shared" si="17"/>
        <v>520800</v>
      </c>
      <c r="L250" s="506" t="s">
        <v>160</v>
      </c>
      <c r="M250" s="506" t="s">
        <v>375</v>
      </c>
      <c r="N250" s="49" t="str">
        <f>IF(AND('331-CT'!$E$7=TH!H250,OR(L250="331",M250="331")),"331",IF(AND(OR(L250="131",M250="131"),H250='131-CT'!$E$7),"131",""))</f>
        <v/>
      </c>
      <c r="O250" s="49" t="str">
        <f>IF(AND($B250&gt;='111'!$N$11,$B250&lt;='111'!$O$11,OR($L250=$O$7,$M250=$O$7)),"x","")</f>
        <v/>
      </c>
      <c r="P250" s="49" t="str">
        <f>IF(AND($L250=$O$7,$B250&lt;'111'!$N$11),"x","")</f>
        <v/>
      </c>
      <c r="Q250" s="49" t="str">
        <f>IF(AND($M250=$O$7,$B250&lt;'111'!$N$11),"x","")</f>
        <v/>
      </c>
      <c r="R250" s="49" t="str">
        <f>IF(ISERROR(FIND('112'!$M$9,G250,1)),"",IF((AND(FIND('112'!$M$9,G250,1)&gt;=1,$B250&gt;='112'!$N$8,$B250&lt;='112'!$O$8,OR($L250='112'!$I$6,$M250='112'!$I$6))),"x",""))</f>
        <v/>
      </c>
      <c r="S250" s="49" t="str">
        <f>IF(ISERROR(FIND('112'!$M$9,G250,1)),"",IF((AND(LEFT(G250,2)=LEFT('112'!$M$9,2),B250&lt;'112'!$N$8,$L250='112'!$I$6)),"x",""))</f>
        <v/>
      </c>
      <c r="T250" s="49" t="str">
        <f>IF(ISERROR(FIND('112'!$M$9,G250,1)),"",IF((AND(RIGHT(G250,2)=RIGHT('112'!$M$9,2),B250&lt;'112'!$N$8,$M250='112'!$I$6)),"x",""))</f>
        <v/>
      </c>
      <c r="U250" s="49" t="str">
        <f>IF(AND(L250="154",'154'!$O$5&lt;=B250,'154'!$P$5&gt;=B250),"154",IF(AND(L250="632",'632'!$L$5&lt;=B250,'632'!$M$5&gt;=B250),"632",IF(AND(L250="642",'642'!$N$5&lt;=B250,'642'!$O$5&gt;=B250),"642",IF(AND(L250="641",'641'!$N$5&lt;=B250,'641'!$O$5&gt;=B250),"641",""))))</f>
        <v/>
      </c>
      <c r="V250" s="49" t="str">
        <f>IF(OR(TH!L250=TH!$V$7,M250=TH!$V$7),"x","")</f>
        <v/>
      </c>
      <c r="W250" s="49" t="str">
        <f>IF(AND(B250&gt;='IN-NX'!$P$3,B250&lt;='IN-NX'!$Q$3,'IN-NX'!$D$7=D250,OR(LEFT(L250,2)="15",AND(LEFT(M250,2)&lt;&gt;"15",LEFT(M250,2)&lt;&gt;"33"))),"x","")</f>
        <v/>
      </c>
      <c r="X250" s="49" t="str">
        <f>IF(AND(OR(LEFT(TH!L250,2)="15",LEFT(TH!M250,2)="15"),'152-CT'!$J$8=TH!F250),"x","")</f>
        <v/>
      </c>
      <c r="Y250" s="49" t="str">
        <f>IF(AND(OR(LEFT(TH!L250,2)="15",LEFT(TH!M250,2)="15"),TK!$E$7=TH!F250),"x","")</f>
        <v/>
      </c>
      <c r="Z250" s="49" t="str">
        <f>IF(AND(B250&lt;=NKC!$N$8,B250&gt;=NKC!$M$8),"x","")</f>
        <v/>
      </c>
      <c r="AA250" s="723"/>
      <c r="AB250" s="497"/>
    </row>
    <row r="251" spans="1:30" s="199" customFormat="1" ht="15.75" hidden="1" customHeight="1">
      <c r="A251" s="724" t="str">
        <f>IF(B251&lt;&gt;"",IF(AND(B251&gt;=_TM1,B251&lt;=_TM2,OR(TH!L251="1111",TH!M251="1111")),TH!D251,""),"")</f>
        <v/>
      </c>
      <c r="B251" s="36">
        <f t="shared" si="15"/>
        <v>12</v>
      </c>
      <c r="C251" s="185">
        <f t="shared" si="16"/>
        <v>41274</v>
      </c>
      <c r="D251" s="185" t="s">
        <v>592</v>
      </c>
      <c r="E251" s="185">
        <v>41274</v>
      </c>
      <c r="F251" s="186" t="s">
        <v>423</v>
      </c>
      <c r="G251" s="732"/>
      <c r="H251" s="187" t="s">
        <v>627</v>
      </c>
      <c r="I251" s="247">
        <v>180</v>
      </c>
      <c r="J251" s="247">
        <v>13020</v>
      </c>
      <c r="K251" s="505">
        <f t="shared" si="17"/>
        <v>2343600</v>
      </c>
      <c r="L251" s="506" t="s">
        <v>160</v>
      </c>
      <c r="M251" s="506" t="s">
        <v>375</v>
      </c>
      <c r="N251" s="49" t="str">
        <f>IF(AND('331-CT'!$E$7=TH!H251,OR(L251="331",M251="331")),"331",IF(AND(OR(L251="131",M251="131"),H251='131-CT'!$E$7),"131",""))</f>
        <v/>
      </c>
      <c r="O251" s="49" t="str">
        <f>IF(AND($B251&gt;='111'!$N$11,$B251&lt;='111'!$O$11,OR($L251=$O$7,$M251=$O$7)),"x","")</f>
        <v/>
      </c>
      <c r="P251" s="49" t="str">
        <f>IF(AND($L251=$O$7,$B251&lt;'111'!$N$11),"x","")</f>
        <v/>
      </c>
      <c r="Q251" s="49" t="str">
        <f>IF(AND($M251=$O$7,$B251&lt;'111'!$N$11),"x","")</f>
        <v/>
      </c>
      <c r="R251" s="49" t="str">
        <f>IF(ISERROR(FIND('112'!$M$9,G251,1)),"",IF((AND(FIND('112'!$M$9,G251,1)&gt;=1,$B251&gt;='112'!$N$8,$B251&lt;='112'!$O$8,OR($L251='112'!$I$6,$M251='112'!$I$6))),"x",""))</f>
        <v/>
      </c>
      <c r="S251" s="49" t="str">
        <f>IF(ISERROR(FIND('112'!$M$9,G251,1)),"",IF((AND(LEFT(G251,2)=LEFT('112'!$M$9,2),B251&lt;'112'!$N$8,$L251='112'!$I$6)),"x",""))</f>
        <v/>
      </c>
      <c r="T251" s="49" t="str">
        <f>IF(ISERROR(FIND('112'!$M$9,G251,1)),"",IF((AND(RIGHT(G251,2)=RIGHT('112'!$M$9,2),B251&lt;'112'!$N$8,$M251='112'!$I$6)),"x",""))</f>
        <v/>
      </c>
      <c r="U251" s="49" t="str">
        <f>IF(AND(L251="154",'154'!$O$5&lt;=B251,'154'!$P$5&gt;=B251),"154",IF(AND(L251="632",'632'!$L$5&lt;=B251,'632'!$M$5&gt;=B251),"632",IF(AND(L251="642",'642'!$N$5&lt;=B251,'642'!$O$5&gt;=B251),"642",IF(AND(L251="641",'641'!$N$5&lt;=B251,'641'!$O$5&gt;=B251),"641",""))))</f>
        <v/>
      </c>
      <c r="V251" s="49" t="str">
        <f>IF(OR(TH!L251=TH!$V$7,M251=TH!$V$7),"x","")</f>
        <v/>
      </c>
      <c r="W251" s="49" t="str">
        <f>IF(AND(B251&gt;='IN-NX'!$P$3,B251&lt;='IN-NX'!$Q$3,'IN-NX'!$D$7=D251,OR(LEFT(L251,2)="15",AND(LEFT(M251,2)&lt;&gt;"15",LEFT(M251,2)&lt;&gt;"33"))),"x","")</f>
        <v/>
      </c>
      <c r="X251" s="49" t="str">
        <f>IF(AND(OR(LEFT(TH!L251,2)="15",LEFT(TH!M251,2)="15"),'152-CT'!$J$8=TH!F251),"x","")</f>
        <v/>
      </c>
      <c r="Y251" s="49" t="str">
        <f>IF(AND(OR(LEFT(TH!L251,2)="15",LEFT(TH!M251,2)="15"),TK!$E$7=TH!F251),"x","")</f>
        <v/>
      </c>
      <c r="Z251" s="49" t="str">
        <f>IF(AND(B251&lt;=NKC!$N$8,B251&gt;=NKC!$M$8),"x","")</f>
        <v/>
      </c>
      <c r="AA251" s="723"/>
      <c r="AB251" s="497"/>
    </row>
    <row r="252" spans="1:30" s="199" customFormat="1" ht="15.75" hidden="1" customHeight="1">
      <c r="A252" s="724" t="str">
        <f>IF(B252&lt;&gt;"",IF(AND(B252&gt;=_TM1,B252&lt;=_TM2,OR(TH!L252="1111",TH!M252="1111")),TH!D252,""),"")</f>
        <v/>
      </c>
      <c r="B252" s="36">
        <f t="shared" si="15"/>
        <v>12</v>
      </c>
      <c r="C252" s="185">
        <f t="shared" si="16"/>
        <v>41274</v>
      </c>
      <c r="D252" s="185" t="s">
        <v>592</v>
      </c>
      <c r="E252" s="185">
        <v>41274</v>
      </c>
      <c r="F252" s="186" t="s">
        <v>423</v>
      </c>
      <c r="G252" s="732"/>
      <c r="H252" s="187" t="s">
        <v>627</v>
      </c>
      <c r="I252" s="247">
        <v>180</v>
      </c>
      <c r="J252" s="247">
        <v>13020</v>
      </c>
      <c r="K252" s="505">
        <f t="shared" si="17"/>
        <v>2343600</v>
      </c>
      <c r="L252" s="506" t="s">
        <v>160</v>
      </c>
      <c r="M252" s="506" t="s">
        <v>375</v>
      </c>
      <c r="N252" s="49" t="str">
        <f>IF(AND('331-CT'!$E$7=TH!H252,OR(L252="331",M252="331")),"331",IF(AND(OR(L252="131",M252="131"),H252='131-CT'!$E$7),"131",""))</f>
        <v/>
      </c>
      <c r="O252" s="49" t="str">
        <f>IF(AND($B252&gt;='111'!$N$11,$B252&lt;='111'!$O$11,OR($L252=$O$7,$M252=$O$7)),"x","")</f>
        <v/>
      </c>
      <c r="P252" s="49" t="str">
        <f>IF(AND($L252=$O$7,$B252&lt;'111'!$N$11),"x","")</f>
        <v/>
      </c>
      <c r="Q252" s="49" t="str">
        <f>IF(AND($M252=$O$7,$B252&lt;'111'!$N$11),"x","")</f>
        <v/>
      </c>
      <c r="R252" s="49" t="str">
        <f>IF(ISERROR(FIND('112'!$M$9,G252,1)),"",IF((AND(FIND('112'!$M$9,G252,1)&gt;=1,$B252&gt;='112'!$N$8,$B252&lt;='112'!$O$8,OR($L252='112'!$I$6,$M252='112'!$I$6))),"x",""))</f>
        <v/>
      </c>
      <c r="S252" s="49" t="str">
        <f>IF(ISERROR(FIND('112'!$M$9,G252,1)),"",IF((AND(LEFT(G252,2)=LEFT('112'!$M$9,2),B252&lt;'112'!$N$8,$L252='112'!$I$6)),"x",""))</f>
        <v/>
      </c>
      <c r="T252" s="49" t="str">
        <f>IF(ISERROR(FIND('112'!$M$9,G252,1)),"",IF((AND(RIGHT(G252,2)=RIGHT('112'!$M$9,2),B252&lt;'112'!$N$8,$M252='112'!$I$6)),"x",""))</f>
        <v/>
      </c>
      <c r="U252" s="49" t="str">
        <f>IF(AND(L252="154",'154'!$O$5&lt;=B252,'154'!$P$5&gt;=B252),"154",IF(AND(L252="632",'632'!$L$5&lt;=B252,'632'!$M$5&gt;=B252),"632",IF(AND(L252="642",'642'!$N$5&lt;=B252,'642'!$O$5&gt;=B252),"642",IF(AND(L252="641",'641'!$N$5&lt;=B252,'641'!$O$5&gt;=B252),"641",""))))</f>
        <v/>
      </c>
      <c r="V252" s="49" t="str">
        <f>IF(OR(TH!L252=TH!$V$7,M252=TH!$V$7),"x","")</f>
        <v/>
      </c>
      <c r="W252" s="49" t="str">
        <f>IF(AND(B252&gt;='IN-NX'!$P$3,B252&lt;='IN-NX'!$Q$3,'IN-NX'!$D$7=D252,OR(LEFT(L252,2)="15",AND(LEFT(M252,2)&lt;&gt;"15",LEFT(M252,2)&lt;&gt;"33"))),"x","")</f>
        <v/>
      </c>
      <c r="X252" s="49" t="str">
        <f>IF(AND(OR(LEFT(TH!L252,2)="15",LEFT(TH!M252,2)="15"),'152-CT'!$J$8=TH!F252),"x","")</f>
        <v/>
      </c>
      <c r="Y252" s="49" t="str">
        <f>IF(AND(OR(LEFT(TH!L252,2)="15",LEFT(TH!M252,2)="15"),TK!$E$7=TH!F252),"x","")</f>
        <v/>
      </c>
      <c r="Z252" s="49" t="str">
        <f>IF(AND(B252&lt;=NKC!$N$8,B252&gt;=NKC!$M$8),"x","")</f>
        <v/>
      </c>
      <c r="AA252" s="723"/>
      <c r="AB252" s="497"/>
    </row>
    <row r="253" spans="1:30" s="199" customFormat="1" ht="15.75" hidden="1" customHeight="1">
      <c r="A253" s="724" t="str">
        <f>IF(B253&lt;&gt;"",IF(AND(B253&gt;=_TM1,B253&lt;=_TM2,OR(TH!L253="1111",TH!M253="1111")),TH!D253,""),"")</f>
        <v/>
      </c>
      <c r="B253" s="36">
        <f t="shared" si="15"/>
        <v>12</v>
      </c>
      <c r="C253" s="185">
        <f t="shared" si="16"/>
        <v>41274</v>
      </c>
      <c r="D253" s="185" t="s">
        <v>592</v>
      </c>
      <c r="E253" s="185">
        <v>41274</v>
      </c>
      <c r="F253" s="186" t="s">
        <v>425</v>
      </c>
      <c r="G253" s="732"/>
      <c r="H253" s="187" t="s">
        <v>627</v>
      </c>
      <c r="I253" s="247">
        <v>505</v>
      </c>
      <c r="J253" s="247">
        <v>12124</v>
      </c>
      <c r="K253" s="505">
        <f t="shared" si="17"/>
        <v>6122620</v>
      </c>
      <c r="L253" s="506" t="s">
        <v>160</v>
      </c>
      <c r="M253" s="506" t="s">
        <v>375</v>
      </c>
      <c r="N253" s="49" t="str">
        <f>IF(AND('331-CT'!$E$7=TH!H253,OR(L253="331",M253="331")),"331",IF(AND(OR(L253="131",M253="131"),H253='131-CT'!$E$7),"131",""))</f>
        <v/>
      </c>
      <c r="O253" s="49" t="str">
        <f>IF(AND($B253&gt;='111'!$N$11,$B253&lt;='111'!$O$11,OR($L253=$O$7,$M253=$O$7)),"x","")</f>
        <v/>
      </c>
      <c r="P253" s="49" t="str">
        <f>IF(AND($L253=$O$7,$B253&lt;'111'!$N$11),"x","")</f>
        <v/>
      </c>
      <c r="Q253" s="49" t="str">
        <f>IF(AND($M253=$O$7,$B253&lt;'111'!$N$11),"x","")</f>
        <v/>
      </c>
      <c r="R253" s="49" t="str">
        <f>IF(ISERROR(FIND('112'!$M$9,G253,1)),"",IF((AND(FIND('112'!$M$9,G253,1)&gt;=1,$B253&gt;='112'!$N$8,$B253&lt;='112'!$O$8,OR($L253='112'!$I$6,$M253='112'!$I$6))),"x",""))</f>
        <v/>
      </c>
      <c r="S253" s="49" t="str">
        <f>IF(ISERROR(FIND('112'!$M$9,G253,1)),"",IF((AND(LEFT(G253,2)=LEFT('112'!$M$9,2),B253&lt;'112'!$N$8,$L253='112'!$I$6)),"x",""))</f>
        <v/>
      </c>
      <c r="T253" s="49" t="str">
        <f>IF(ISERROR(FIND('112'!$M$9,G253,1)),"",IF((AND(RIGHT(G253,2)=RIGHT('112'!$M$9,2),B253&lt;'112'!$N$8,$M253='112'!$I$6)),"x",""))</f>
        <v/>
      </c>
      <c r="U253" s="49" t="str">
        <f>IF(AND(L253="154",'154'!$O$5&lt;=B253,'154'!$P$5&gt;=B253),"154",IF(AND(L253="632",'632'!$L$5&lt;=B253,'632'!$M$5&gt;=B253),"632",IF(AND(L253="642",'642'!$N$5&lt;=B253,'642'!$O$5&gt;=B253),"642",IF(AND(L253="641",'641'!$N$5&lt;=B253,'641'!$O$5&gt;=B253),"641",""))))</f>
        <v/>
      </c>
      <c r="V253" s="49" t="str">
        <f>IF(OR(TH!L253=TH!$V$7,M253=TH!$V$7),"x","")</f>
        <v/>
      </c>
      <c r="W253" s="49" t="str">
        <f>IF(AND(B253&gt;='IN-NX'!$P$3,B253&lt;='IN-NX'!$Q$3,'IN-NX'!$D$7=D253,OR(LEFT(L253,2)="15",AND(LEFT(M253,2)&lt;&gt;"15",LEFT(M253,2)&lt;&gt;"33"))),"x","")</f>
        <v/>
      </c>
      <c r="X253" s="49" t="str">
        <f>IF(AND(OR(LEFT(TH!L253,2)="15",LEFT(TH!M253,2)="15"),'152-CT'!$J$8=TH!F253),"x","")</f>
        <v/>
      </c>
      <c r="Y253" s="49" t="str">
        <f>IF(AND(OR(LEFT(TH!L253,2)="15",LEFT(TH!M253,2)="15"),TK!$E$7=TH!F253),"x","")</f>
        <v/>
      </c>
      <c r="Z253" s="49" t="str">
        <f>IF(AND(B253&lt;=NKC!$N$8,B253&gt;=NKC!$M$8),"x","")</f>
        <v/>
      </c>
      <c r="AA253" s="723"/>
      <c r="AB253" s="497"/>
    </row>
    <row r="254" spans="1:30" s="199" customFormat="1" ht="15.75" hidden="1" customHeight="1">
      <c r="A254" s="724" t="str">
        <f>IF(B254&lt;&gt;"",IF(AND(B254&gt;=_TM1,B254&lt;=_TM2,OR(TH!L254="1111",TH!M254="1111")),TH!D254,""),"")</f>
        <v/>
      </c>
      <c r="B254" s="36">
        <f t="shared" si="15"/>
        <v>12</v>
      </c>
      <c r="C254" s="185">
        <f t="shared" si="16"/>
        <v>41274</v>
      </c>
      <c r="D254" s="185" t="s">
        <v>592</v>
      </c>
      <c r="E254" s="185">
        <v>41274</v>
      </c>
      <c r="F254" s="186" t="s">
        <v>467</v>
      </c>
      <c r="G254" s="732"/>
      <c r="H254" s="187" t="s">
        <v>627</v>
      </c>
      <c r="I254" s="247">
        <v>750</v>
      </c>
      <c r="J254" s="247">
        <v>9672</v>
      </c>
      <c r="K254" s="505">
        <f t="shared" si="17"/>
        <v>7254000</v>
      </c>
      <c r="L254" s="506" t="s">
        <v>160</v>
      </c>
      <c r="M254" s="506" t="s">
        <v>375</v>
      </c>
      <c r="N254" s="49" t="str">
        <f>IF(AND('331-CT'!$E$7=TH!H254,OR(L254="331",M254="331")),"331",IF(AND(OR(L254="131",M254="131"),H254='131-CT'!$E$7),"131",""))</f>
        <v/>
      </c>
      <c r="O254" s="49" t="str">
        <f>IF(AND($B254&gt;='111'!$N$11,$B254&lt;='111'!$O$11,OR($L254=$O$7,$M254=$O$7)),"x","")</f>
        <v/>
      </c>
      <c r="P254" s="49" t="str">
        <f>IF(AND($L254=$O$7,$B254&lt;'111'!$N$11),"x","")</f>
        <v/>
      </c>
      <c r="Q254" s="49" t="str">
        <f>IF(AND($M254=$O$7,$B254&lt;'111'!$N$11),"x","")</f>
        <v/>
      </c>
      <c r="R254" s="49" t="str">
        <f>IF(ISERROR(FIND('112'!$M$9,G254,1)),"",IF((AND(FIND('112'!$M$9,G254,1)&gt;=1,$B254&gt;='112'!$N$8,$B254&lt;='112'!$O$8,OR($L254='112'!$I$6,$M254='112'!$I$6))),"x",""))</f>
        <v/>
      </c>
      <c r="S254" s="49" t="str">
        <f>IF(ISERROR(FIND('112'!$M$9,G254,1)),"",IF((AND(LEFT(G254,2)=LEFT('112'!$M$9,2),B254&lt;'112'!$N$8,$L254='112'!$I$6)),"x",""))</f>
        <v/>
      </c>
      <c r="T254" s="49" t="str">
        <f>IF(ISERROR(FIND('112'!$M$9,G254,1)),"",IF((AND(RIGHT(G254,2)=RIGHT('112'!$M$9,2),B254&lt;'112'!$N$8,$M254='112'!$I$6)),"x",""))</f>
        <v/>
      </c>
      <c r="U254" s="49" t="str">
        <f>IF(AND(L254="154",'154'!$O$5&lt;=B254,'154'!$P$5&gt;=B254),"154",IF(AND(L254="632",'632'!$L$5&lt;=B254,'632'!$M$5&gt;=B254),"632",IF(AND(L254="642",'642'!$N$5&lt;=B254,'642'!$O$5&gt;=B254),"642",IF(AND(L254="641",'641'!$N$5&lt;=B254,'641'!$O$5&gt;=B254),"641",""))))</f>
        <v/>
      </c>
      <c r="V254" s="49" t="str">
        <f>IF(OR(TH!L254=TH!$V$7,M254=TH!$V$7),"x","")</f>
        <v/>
      </c>
      <c r="W254" s="49" t="str">
        <f>IF(AND(B254&gt;='IN-NX'!$P$3,B254&lt;='IN-NX'!$Q$3,'IN-NX'!$D$7=D254,OR(LEFT(L254,2)="15",AND(LEFT(M254,2)&lt;&gt;"15",LEFT(M254,2)&lt;&gt;"33"))),"x","")</f>
        <v/>
      </c>
      <c r="X254" s="49" t="str">
        <f>IF(AND(OR(LEFT(TH!L254,2)="15",LEFT(TH!M254,2)="15"),'152-CT'!$J$8=TH!F254),"x","")</f>
        <v/>
      </c>
      <c r="Y254" s="49" t="str">
        <f>IF(AND(OR(LEFT(TH!L254,2)="15",LEFT(TH!M254,2)="15"),TK!$E$7=TH!F254),"x","")</f>
        <v/>
      </c>
      <c r="Z254" s="49" t="str">
        <f>IF(AND(B254&lt;=NKC!$N$8,B254&gt;=NKC!$M$8),"x","")</f>
        <v/>
      </c>
      <c r="AA254" s="723"/>
      <c r="AB254" s="497"/>
    </row>
    <row r="255" spans="1:30" s="199" customFormat="1" ht="15.75" hidden="1" customHeight="1">
      <c r="A255" s="724" t="str">
        <f>IF(B255&lt;&gt;"",IF(AND(B255&gt;=_TM1,B255&lt;=_TM2,OR(TH!L255="1111",TH!M255="1111")),TH!D255,""),"")</f>
        <v/>
      </c>
      <c r="B255" s="36">
        <f t="shared" si="15"/>
        <v>12</v>
      </c>
      <c r="C255" s="185">
        <f t="shared" si="16"/>
        <v>41274</v>
      </c>
      <c r="D255" s="185" t="s">
        <v>592</v>
      </c>
      <c r="E255" s="185">
        <v>41274</v>
      </c>
      <c r="F255" s="186" t="s">
        <v>422</v>
      </c>
      <c r="G255" s="732"/>
      <c r="H255" s="187" t="s">
        <v>627</v>
      </c>
      <c r="I255" s="247">
        <v>412</v>
      </c>
      <c r="J255" s="247">
        <v>10286</v>
      </c>
      <c r="K255" s="505">
        <f t="shared" si="17"/>
        <v>4237832</v>
      </c>
      <c r="L255" s="506" t="s">
        <v>160</v>
      </c>
      <c r="M255" s="506" t="s">
        <v>375</v>
      </c>
      <c r="N255" s="49" t="str">
        <f>IF(AND('331-CT'!$E$7=TH!H255,OR(L255="331",M255="331")),"331",IF(AND(OR(L255="131",M255="131"),H255='131-CT'!$E$7),"131",""))</f>
        <v/>
      </c>
      <c r="O255" s="49" t="str">
        <f>IF(AND($B255&gt;='111'!$N$11,$B255&lt;='111'!$O$11,OR($L255=$O$7,$M255=$O$7)),"x","")</f>
        <v/>
      </c>
      <c r="P255" s="49" t="str">
        <f>IF(AND($L255=$O$7,$B255&lt;'111'!$N$11),"x","")</f>
        <v/>
      </c>
      <c r="Q255" s="49" t="str">
        <f>IF(AND($M255=$O$7,$B255&lt;'111'!$N$11),"x","")</f>
        <v/>
      </c>
      <c r="R255" s="49" t="str">
        <f>IF(ISERROR(FIND('112'!$M$9,G255,1)),"",IF((AND(FIND('112'!$M$9,G255,1)&gt;=1,$B255&gt;='112'!$N$8,$B255&lt;='112'!$O$8,OR($L255='112'!$I$6,$M255='112'!$I$6))),"x",""))</f>
        <v/>
      </c>
      <c r="S255" s="49" t="str">
        <f>IF(ISERROR(FIND('112'!$M$9,G255,1)),"",IF((AND(LEFT(G255,2)=LEFT('112'!$M$9,2),B255&lt;'112'!$N$8,$L255='112'!$I$6)),"x",""))</f>
        <v/>
      </c>
      <c r="T255" s="49" t="str">
        <f>IF(ISERROR(FIND('112'!$M$9,G255,1)),"",IF((AND(RIGHT(G255,2)=RIGHT('112'!$M$9,2),B255&lt;'112'!$N$8,$M255='112'!$I$6)),"x",""))</f>
        <v/>
      </c>
      <c r="U255" s="49" t="str">
        <f>IF(AND(L255="154",'154'!$O$5&lt;=B255,'154'!$P$5&gt;=B255),"154",IF(AND(L255="632",'632'!$L$5&lt;=B255,'632'!$M$5&gt;=B255),"632",IF(AND(L255="642",'642'!$N$5&lt;=B255,'642'!$O$5&gt;=B255),"642",IF(AND(L255="641",'641'!$N$5&lt;=B255,'641'!$O$5&gt;=B255),"641",""))))</f>
        <v/>
      </c>
      <c r="V255" s="49" t="str">
        <f>IF(OR(TH!L255=TH!$V$7,M255=TH!$V$7),"x","")</f>
        <v/>
      </c>
      <c r="W255" s="49" t="str">
        <f>IF(AND(B255&gt;='IN-NX'!$P$3,B255&lt;='IN-NX'!$Q$3,'IN-NX'!$D$7=D255,OR(LEFT(L255,2)="15",AND(LEFT(M255,2)&lt;&gt;"15",LEFT(M255,2)&lt;&gt;"33"))),"x","")</f>
        <v/>
      </c>
      <c r="X255" s="49" t="str">
        <f>IF(AND(OR(LEFT(TH!L255,2)="15",LEFT(TH!M255,2)="15"),'152-CT'!$J$8=TH!F255),"x","")</f>
        <v/>
      </c>
      <c r="Y255" s="49" t="str">
        <f>IF(AND(OR(LEFT(TH!L255,2)="15",LEFT(TH!M255,2)="15"),TK!$E$7=TH!F255),"x","")</f>
        <v/>
      </c>
      <c r="Z255" s="49" t="str">
        <f>IF(AND(B255&lt;=NKC!$N$8,B255&gt;=NKC!$M$8),"x","")</f>
        <v/>
      </c>
      <c r="AA255" s="723"/>
      <c r="AB255" s="497"/>
    </row>
    <row r="256" spans="1:30" s="199" customFormat="1" ht="15.75" hidden="1" customHeight="1">
      <c r="A256" s="724" t="str">
        <f>IF(B256&lt;&gt;"",IF(AND(B256&gt;=_TM1,B256&lt;=_TM2,OR(TH!L256="1111",TH!M256="1111")),TH!D256,""),"")</f>
        <v/>
      </c>
      <c r="B256" s="36">
        <f t="shared" si="15"/>
        <v>12</v>
      </c>
      <c r="C256" s="185">
        <f t="shared" si="16"/>
        <v>41274</v>
      </c>
      <c r="D256" s="185" t="s">
        <v>592</v>
      </c>
      <c r="E256" s="185">
        <v>41274</v>
      </c>
      <c r="F256" s="186" t="s">
        <v>426</v>
      </c>
      <c r="G256" s="732"/>
      <c r="H256" s="187" t="s">
        <v>627</v>
      </c>
      <c r="I256" s="247">
        <v>399</v>
      </c>
      <c r="J256" s="247">
        <v>12750</v>
      </c>
      <c r="K256" s="505">
        <f t="shared" si="17"/>
        <v>5087250</v>
      </c>
      <c r="L256" s="506" t="s">
        <v>160</v>
      </c>
      <c r="M256" s="506" t="s">
        <v>375</v>
      </c>
      <c r="N256" s="49" t="str">
        <f>IF(AND('331-CT'!$E$7=TH!H256,OR(L256="331",M256="331")),"331",IF(AND(OR(L256="131",M256="131"),H256='131-CT'!$E$7),"131",""))</f>
        <v/>
      </c>
      <c r="O256" s="49" t="str">
        <f>IF(AND($B256&gt;='111'!$N$11,$B256&lt;='111'!$O$11,OR($L256=$O$7,$M256=$O$7)),"x","")</f>
        <v/>
      </c>
      <c r="P256" s="49" t="str">
        <f>IF(AND($L256=$O$7,$B256&lt;'111'!$N$11),"x","")</f>
        <v/>
      </c>
      <c r="Q256" s="49" t="str">
        <f>IF(AND($M256=$O$7,$B256&lt;'111'!$N$11),"x","")</f>
        <v/>
      </c>
      <c r="R256" s="49" t="str">
        <f>IF(ISERROR(FIND('112'!$M$9,G256,1)),"",IF((AND(FIND('112'!$M$9,G256,1)&gt;=1,$B256&gt;='112'!$N$8,$B256&lt;='112'!$O$8,OR($L256='112'!$I$6,$M256='112'!$I$6))),"x",""))</f>
        <v/>
      </c>
      <c r="S256" s="49" t="str">
        <f>IF(ISERROR(FIND('112'!$M$9,G256,1)),"",IF((AND(LEFT(G256,2)=LEFT('112'!$M$9,2),B256&lt;'112'!$N$8,$L256='112'!$I$6)),"x",""))</f>
        <v/>
      </c>
      <c r="T256" s="49" t="str">
        <f>IF(ISERROR(FIND('112'!$M$9,G256,1)),"",IF((AND(RIGHT(G256,2)=RIGHT('112'!$M$9,2),B256&lt;'112'!$N$8,$M256='112'!$I$6)),"x",""))</f>
        <v/>
      </c>
      <c r="U256" s="49" t="str">
        <f>IF(AND(L256="154",'154'!$O$5&lt;=B256,'154'!$P$5&gt;=B256),"154",IF(AND(L256="632",'632'!$L$5&lt;=B256,'632'!$M$5&gt;=B256),"632",IF(AND(L256="642",'642'!$N$5&lt;=B256,'642'!$O$5&gt;=B256),"642",IF(AND(L256="641",'641'!$N$5&lt;=B256,'641'!$O$5&gt;=B256),"641",""))))</f>
        <v/>
      </c>
      <c r="V256" s="49" t="str">
        <f>IF(OR(TH!L256=TH!$V$7,M256=TH!$V$7),"x","")</f>
        <v/>
      </c>
      <c r="W256" s="49" t="str">
        <f>IF(AND(B256&gt;='IN-NX'!$P$3,B256&lt;='IN-NX'!$Q$3,'IN-NX'!$D$7=D256,OR(LEFT(L256,2)="15",AND(LEFT(M256,2)&lt;&gt;"15",LEFT(M256,2)&lt;&gt;"33"))),"x","")</f>
        <v/>
      </c>
      <c r="X256" s="49" t="str">
        <f>IF(AND(OR(LEFT(TH!L256,2)="15",LEFT(TH!M256,2)="15"),'152-CT'!$J$8=TH!F256),"x","")</f>
        <v/>
      </c>
      <c r="Y256" s="49" t="str">
        <f>IF(AND(OR(LEFT(TH!L256,2)="15",LEFT(TH!M256,2)="15"),TK!$E$7=TH!F256),"x","")</f>
        <v/>
      </c>
      <c r="Z256" s="49" t="str">
        <f>IF(AND(B256&lt;=NKC!$N$8,B256&gt;=NKC!$M$8),"x","")</f>
        <v/>
      </c>
      <c r="AA256" s="723"/>
      <c r="AB256" s="497"/>
    </row>
    <row r="257" spans="1:28" s="199" customFormat="1" ht="15.75" hidden="1" customHeight="1">
      <c r="A257" s="724" t="str">
        <f>IF(B257&lt;&gt;"",IF(AND(B257&gt;=_TM1,B257&lt;=_TM2,OR(TH!L257="1111",TH!M257="1111")),TH!D257,""),"")</f>
        <v/>
      </c>
      <c r="B257" s="36">
        <f t="shared" si="15"/>
        <v>12</v>
      </c>
      <c r="C257" s="185">
        <f t="shared" si="16"/>
        <v>41274</v>
      </c>
      <c r="D257" s="185" t="s">
        <v>592</v>
      </c>
      <c r="E257" s="185">
        <v>41274</v>
      </c>
      <c r="F257" s="186" t="s">
        <v>465</v>
      </c>
      <c r="G257" s="732"/>
      <c r="H257" s="187" t="s">
        <v>627</v>
      </c>
      <c r="I257" s="247">
        <v>150</v>
      </c>
      <c r="J257" s="247">
        <v>11532</v>
      </c>
      <c r="K257" s="505">
        <f t="shared" si="17"/>
        <v>1729800</v>
      </c>
      <c r="L257" s="506" t="s">
        <v>160</v>
      </c>
      <c r="M257" s="506" t="s">
        <v>375</v>
      </c>
      <c r="N257" s="49" t="str">
        <f>IF(AND('331-CT'!$E$7=TH!H257,OR(L257="331",M257="331")),"331",IF(AND(OR(L257="131",M257="131"),H257='131-CT'!$E$7),"131",""))</f>
        <v/>
      </c>
      <c r="O257" s="49" t="str">
        <f>IF(AND($B257&gt;='111'!$N$11,$B257&lt;='111'!$O$11,OR($L257=$O$7,$M257=$O$7)),"x","")</f>
        <v/>
      </c>
      <c r="P257" s="49" t="str">
        <f>IF(AND($L257=$O$7,$B257&lt;'111'!$N$11),"x","")</f>
        <v/>
      </c>
      <c r="Q257" s="49" t="str">
        <f>IF(AND($M257=$O$7,$B257&lt;'111'!$N$11),"x","")</f>
        <v/>
      </c>
      <c r="R257" s="49" t="str">
        <f>IF(ISERROR(FIND('112'!$M$9,G257,1)),"",IF((AND(FIND('112'!$M$9,G257,1)&gt;=1,$B257&gt;='112'!$N$8,$B257&lt;='112'!$O$8,OR($L257='112'!$I$6,$M257='112'!$I$6))),"x",""))</f>
        <v/>
      </c>
      <c r="S257" s="49" t="str">
        <f>IF(ISERROR(FIND('112'!$M$9,G257,1)),"",IF((AND(LEFT(G257,2)=LEFT('112'!$M$9,2),B257&lt;'112'!$N$8,$L257='112'!$I$6)),"x",""))</f>
        <v/>
      </c>
      <c r="T257" s="49" t="str">
        <f>IF(ISERROR(FIND('112'!$M$9,G257,1)),"",IF((AND(RIGHT(G257,2)=RIGHT('112'!$M$9,2),B257&lt;'112'!$N$8,$M257='112'!$I$6)),"x",""))</f>
        <v/>
      </c>
      <c r="U257" s="49" t="str">
        <f>IF(AND(L257="154",'154'!$O$5&lt;=B257,'154'!$P$5&gt;=B257),"154",IF(AND(L257="632",'632'!$L$5&lt;=B257,'632'!$M$5&gt;=B257),"632",IF(AND(L257="642",'642'!$N$5&lt;=B257,'642'!$O$5&gt;=B257),"642",IF(AND(L257="641",'641'!$N$5&lt;=B257,'641'!$O$5&gt;=B257),"641",""))))</f>
        <v/>
      </c>
      <c r="V257" s="49" t="str">
        <f>IF(OR(TH!L257=TH!$V$7,M257=TH!$V$7),"x","")</f>
        <v/>
      </c>
      <c r="W257" s="49" t="str">
        <f>IF(AND(B257&gt;='IN-NX'!$P$3,B257&lt;='IN-NX'!$Q$3,'IN-NX'!$D$7=D257,OR(LEFT(L257,2)="15",AND(LEFT(M257,2)&lt;&gt;"15",LEFT(M257,2)&lt;&gt;"33"))),"x","")</f>
        <v/>
      </c>
      <c r="X257" s="49" t="str">
        <f>IF(AND(OR(LEFT(TH!L257,2)="15",LEFT(TH!M257,2)="15"),'152-CT'!$J$8=TH!F257),"x","")</f>
        <v/>
      </c>
      <c r="Y257" s="49" t="str">
        <f>IF(AND(OR(LEFT(TH!L257,2)="15",LEFT(TH!M257,2)="15"),TK!$E$7=TH!F257),"x","")</f>
        <v/>
      </c>
      <c r="Z257" s="49" t="str">
        <f>IF(AND(B257&lt;=NKC!$N$8,B257&gt;=NKC!$M$8),"x","")</f>
        <v/>
      </c>
      <c r="AA257" s="723"/>
      <c r="AB257" s="497"/>
    </row>
    <row r="258" spans="1:28" s="199" customFormat="1" ht="15.75" hidden="1" customHeight="1">
      <c r="A258" s="724" t="str">
        <f>IF(B258&lt;&gt;"",IF(AND(B258&gt;=_TM1,B258&lt;=_TM2,OR(TH!L258="1111",TH!M258="1111")),TH!D258,""),"")</f>
        <v/>
      </c>
      <c r="B258" s="36">
        <f t="shared" si="15"/>
        <v>12</v>
      </c>
      <c r="C258" s="185">
        <f t="shared" si="16"/>
        <v>41274</v>
      </c>
      <c r="D258" s="185" t="s">
        <v>592</v>
      </c>
      <c r="E258" s="185">
        <v>41274</v>
      </c>
      <c r="F258" s="186" t="s">
        <v>400</v>
      </c>
      <c r="G258" s="732"/>
      <c r="H258" s="187" t="s">
        <v>627</v>
      </c>
      <c r="I258" s="247">
        <v>1260</v>
      </c>
      <c r="J258" s="247">
        <v>10855.523809523809</v>
      </c>
      <c r="K258" s="505">
        <f t="shared" si="17"/>
        <v>13677960</v>
      </c>
      <c r="L258" s="506" t="s">
        <v>160</v>
      </c>
      <c r="M258" s="506" t="s">
        <v>375</v>
      </c>
      <c r="N258" s="49" t="str">
        <f>IF(AND('331-CT'!$E$7=TH!H258,OR(L258="331",M258="331")),"331",IF(AND(OR(L258="131",M258="131"),H258='131-CT'!$E$7),"131",""))</f>
        <v/>
      </c>
      <c r="O258" s="49" t="str">
        <f>IF(AND($B258&gt;='111'!$N$11,$B258&lt;='111'!$O$11,OR($L258=$O$7,$M258=$O$7)),"x","")</f>
        <v/>
      </c>
      <c r="P258" s="49" t="str">
        <f>IF(AND($L258=$O$7,$B258&lt;'111'!$N$11),"x","")</f>
        <v/>
      </c>
      <c r="Q258" s="49" t="str">
        <f>IF(AND($M258=$O$7,$B258&lt;'111'!$N$11),"x","")</f>
        <v/>
      </c>
      <c r="R258" s="49" t="str">
        <f>IF(ISERROR(FIND('112'!$M$9,G258,1)),"",IF((AND(FIND('112'!$M$9,G258,1)&gt;=1,$B258&gt;='112'!$N$8,$B258&lt;='112'!$O$8,OR($L258='112'!$I$6,$M258='112'!$I$6))),"x",""))</f>
        <v/>
      </c>
      <c r="S258" s="49" t="str">
        <f>IF(ISERROR(FIND('112'!$M$9,G258,1)),"",IF((AND(LEFT(G258,2)=LEFT('112'!$M$9,2),B258&lt;'112'!$N$8,$L258='112'!$I$6)),"x",""))</f>
        <v/>
      </c>
      <c r="T258" s="49" t="str">
        <f>IF(ISERROR(FIND('112'!$M$9,G258,1)),"",IF((AND(RIGHT(G258,2)=RIGHT('112'!$M$9,2),B258&lt;'112'!$N$8,$M258='112'!$I$6)),"x",""))</f>
        <v/>
      </c>
      <c r="U258" s="49" t="str">
        <f>IF(AND(L258="154",'154'!$O$5&lt;=B258,'154'!$P$5&gt;=B258),"154",IF(AND(L258="632",'632'!$L$5&lt;=B258,'632'!$M$5&gt;=B258),"632",IF(AND(L258="642",'642'!$N$5&lt;=B258,'642'!$O$5&gt;=B258),"642",IF(AND(L258="641",'641'!$N$5&lt;=B258,'641'!$O$5&gt;=B258),"641",""))))</f>
        <v/>
      </c>
      <c r="V258" s="49" t="str">
        <f>IF(OR(TH!L258=TH!$V$7,M258=TH!$V$7),"x","")</f>
        <v/>
      </c>
      <c r="W258" s="49" t="str">
        <f>IF(AND(B258&gt;='IN-NX'!$P$3,B258&lt;='IN-NX'!$Q$3,'IN-NX'!$D$7=D258,OR(LEFT(L258,2)="15",AND(LEFT(M258,2)&lt;&gt;"15",LEFT(M258,2)&lt;&gt;"33"))),"x","")</f>
        <v/>
      </c>
      <c r="X258" s="49" t="str">
        <f>IF(AND(OR(LEFT(TH!L258,2)="15",LEFT(TH!M258,2)="15"),'152-CT'!$J$8=TH!F258),"x","")</f>
        <v/>
      </c>
      <c r="Y258" s="49" t="str">
        <f>IF(AND(OR(LEFT(TH!L258,2)="15",LEFT(TH!M258,2)="15"),TK!$E$7=TH!F258),"x","")</f>
        <v/>
      </c>
      <c r="Z258" s="49" t="str">
        <f>IF(AND(B258&lt;=NKC!$N$8,B258&gt;=NKC!$M$8),"x","")</f>
        <v/>
      </c>
      <c r="AA258" s="723"/>
      <c r="AB258" s="497"/>
    </row>
    <row r="259" spans="1:28" s="199" customFormat="1" ht="15.75" hidden="1" customHeight="1">
      <c r="A259" s="724" t="str">
        <f>IF(B259&lt;&gt;"",IF(AND(B259&gt;=_TM1,B259&lt;=_TM2,OR(TH!L259="1111",TH!M259="1111")),TH!D259,""),"")</f>
        <v/>
      </c>
      <c r="B259" s="36">
        <f t="shared" si="15"/>
        <v>12</v>
      </c>
      <c r="C259" s="185">
        <f t="shared" si="16"/>
        <v>41274</v>
      </c>
      <c r="D259" s="185" t="s">
        <v>592</v>
      </c>
      <c r="E259" s="185">
        <v>41274</v>
      </c>
      <c r="F259" s="186" t="s">
        <v>394</v>
      </c>
      <c r="G259" s="732"/>
      <c r="H259" s="187" t="s">
        <v>627</v>
      </c>
      <c r="I259" s="247">
        <v>283</v>
      </c>
      <c r="J259" s="247">
        <v>10844</v>
      </c>
      <c r="K259" s="505">
        <f t="shared" si="17"/>
        <v>3068852</v>
      </c>
      <c r="L259" s="506" t="s">
        <v>160</v>
      </c>
      <c r="M259" s="506" t="s">
        <v>375</v>
      </c>
      <c r="N259" s="49" t="str">
        <f>IF(AND('331-CT'!$E$7=TH!H259,OR(L259="331",M259="331")),"331",IF(AND(OR(L259="131",M259="131"),H259='131-CT'!$E$7),"131",""))</f>
        <v/>
      </c>
      <c r="O259" s="49" t="str">
        <f>IF(AND($B259&gt;='111'!$N$11,$B259&lt;='111'!$O$11,OR($L259=$O$7,$M259=$O$7)),"x","")</f>
        <v/>
      </c>
      <c r="P259" s="49" t="str">
        <f>IF(AND($L259=$O$7,$B259&lt;'111'!$N$11),"x","")</f>
        <v/>
      </c>
      <c r="Q259" s="49" t="str">
        <f>IF(AND($M259=$O$7,$B259&lt;'111'!$N$11),"x","")</f>
        <v/>
      </c>
      <c r="R259" s="49" t="str">
        <f>IF(ISERROR(FIND('112'!$M$9,G259,1)),"",IF((AND(FIND('112'!$M$9,G259,1)&gt;=1,$B259&gt;='112'!$N$8,$B259&lt;='112'!$O$8,OR($L259='112'!$I$6,$M259='112'!$I$6))),"x",""))</f>
        <v/>
      </c>
      <c r="S259" s="49" t="str">
        <f>IF(ISERROR(FIND('112'!$M$9,G259,1)),"",IF((AND(LEFT(G259,2)=LEFT('112'!$M$9,2),B259&lt;'112'!$N$8,$L259='112'!$I$6)),"x",""))</f>
        <v/>
      </c>
      <c r="T259" s="49" t="str">
        <f>IF(ISERROR(FIND('112'!$M$9,G259,1)),"",IF((AND(RIGHT(G259,2)=RIGHT('112'!$M$9,2),B259&lt;'112'!$N$8,$M259='112'!$I$6)),"x",""))</f>
        <v/>
      </c>
      <c r="U259" s="49" t="str">
        <f>IF(AND(L259="154",'154'!$O$5&lt;=B259,'154'!$P$5&gt;=B259),"154",IF(AND(L259="632",'632'!$L$5&lt;=B259,'632'!$M$5&gt;=B259),"632",IF(AND(L259="642",'642'!$N$5&lt;=B259,'642'!$O$5&gt;=B259),"642",IF(AND(L259="641",'641'!$N$5&lt;=B259,'641'!$O$5&gt;=B259),"641",""))))</f>
        <v/>
      </c>
      <c r="V259" s="49" t="str">
        <f>IF(OR(TH!L259=TH!$V$7,M259=TH!$V$7),"x","")</f>
        <v/>
      </c>
      <c r="W259" s="49" t="str">
        <f>IF(AND(B259&gt;='IN-NX'!$P$3,B259&lt;='IN-NX'!$Q$3,'IN-NX'!$D$7=D259,OR(LEFT(L259,2)="15",AND(LEFT(M259,2)&lt;&gt;"15",LEFT(M259,2)&lt;&gt;"33"))),"x","")</f>
        <v/>
      </c>
      <c r="X259" s="49" t="str">
        <f>IF(AND(OR(LEFT(TH!L259,2)="15",LEFT(TH!M259,2)="15"),'152-CT'!$J$8=TH!F259),"x","")</f>
        <v/>
      </c>
      <c r="Y259" s="49" t="str">
        <f>IF(AND(OR(LEFT(TH!L259,2)="15",LEFT(TH!M259,2)="15"),TK!$E$7=TH!F259),"x","")</f>
        <v/>
      </c>
      <c r="Z259" s="49" t="str">
        <f>IF(AND(B259&lt;=NKC!$N$8,B259&gt;=NKC!$M$8),"x","")</f>
        <v/>
      </c>
      <c r="AA259" s="723"/>
      <c r="AB259" s="497"/>
    </row>
    <row r="260" spans="1:28" s="199" customFormat="1" ht="15.75" hidden="1" customHeight="1">
      <c r="A260" s="724" t="str">
        <f>IF(B260&lt;&gt;"",IF(AND(B260&gt;=_TM1,B260&lt;=_TM2,OR(TH!L260="1111",TH!M260="1111")),TH!D260,""),"")</f>
        <v/>
      </c>
      <c r="B260" s="36">
        <f t="shared" si="15"/>
        <v>12</v>
      </c>
      <c r="C260" s="185">
        <f t="shared" si="16"/>
        <v>41274</v>
      </c>
      <c r="D260" s="185" t="s">
        <v>592</v>
      </c>
      <c r="E260" s="185">
        <v>41274</v>
      </c>
      <c r="F260" s="186" t="s">
        <v>399</v>
      </c>
      <c r="G260" s="732"/>
      <c r="H260" s="187" t="s">
        <v>627</v>
      </c>
      <c r="I260" s="247">
        <v>2050</v>
      </c>
      <c r="J260" s="247">
        <v>10298</v>
      </c>
      <c r="K260" s="505">
        <f t="shared" si="17"/>
        <v>21110900</v>
      </c>
      <c r="L260" s="506" t="s">
        <v>160</v>
      </c>
      <c r="M260" s="506" t="s">
        <v>375</v>
      </c>
      <c r="N260" s="49" t="str">
        <f>IF(AND('331-CT'!$E$7=TH!H260,OR(L260="331",M260="331")),"331",IF(AND(OR(L260="131",M260="131"),H260='131-CT'!$E$7),"131",""))</f>
        <v/>
      </c>
      <c r="O260" s="49" t="str">
        <f>IF(AND($B260&gt;='111'!$N$11,$B260&lt;='111'!$O$11,OR($L260=$O$7,$M260=$O$7)),"x","")</f>
        <v/>
      </c>
      <c r="P260" s="49" t="str">
        <f>IF(AND($L260=$O$7,$B260&lt;'111'!$N$11),"x","")</f>
        <v/>
      </c>
      <c r="Q260" s="49" t="str">
        <f>IF(AND($M260=$O$7,$B260&lt;'111'!$N$11),"x","")</f>
        <v/>
      </c>
      <c r="R260" s="49" t="str">
        <f>IF(ISERROR(FIND('112'!$M$9,G260,1)),"",IF((AND(FIND('112'!$M$9,G260,1)&gt;=1,$B260&gt;='112'!$N$8,$B260&lt;='112'!$O$8,OR($L260='112'!$I$6,$M260='112'!$I$6))),"x",""))</f>
        <v/>
      </c>
      <c r="S260" s="49" t="str">
        <f>IF(ISERROR(FIND('112'!$M$9,G260,1)),"",IF((AND(LEFT(G260,2)=LEFT('112'!$M$9,2),B260&lt;'112'!$N$8,$L260='112'!$I$6)),"x",""))</f>
        <v/>
      </c>
      <c r="T260" s="49" t="str">
        <f>IF(ISERROR(FIND('112'!$M$9,G260,1)),"",IF((AND(RIGHT(G260,2)=RIGHT('112'!$M$9,2),B260&lt;'112'!$N$8,$M260='112'!$I$6)),"x",""))</f>
        <v/>
      </c>
      <c r="U260" s="49" t="str">
        <f>IF(AND(L260="154",'154'!$O$5&lt;=B260,'154'!$P$5&gt;=B260),"154",IF(AND(L260="632",'632'!$L$5&lt;=B260,'632'!$M$5&gt;=B260),"632",IF(AND(L260="642",'642'!$N$5&lt;=B260,'642'!$O$5&gt;=B260),"642",IF(AND(L260="641",'641'!$N$5&lt;=B260,'641'!$O$5&gt;=B260),"641",""))))</f>
        <v/>
      </c>
      <c r="V260" s="49" t="str">
        <f>IF(OR(TH!L260=TH!$V$7,M260=TH!$V$7),"x","")</f>
        <v/>
      </c>
      <c r="W260" s="49" t="str">
        <f>IF(AND(B260&gt;='IN-NX'!$P$3,B260&lt;='IN-NX'!$Q$3,'IN-NX'!$D$7=D260,OR(LEFT(L260,2)="15",AND(LEFT(M260,2)&lt;&gt;"15",LEFT(M260,2)&lt;&gt;"33"))),"x","")</f>
        <v/>
      </c>
      <c r="X260" s="49" t="str">
        <f>IF(AND(OR(LEFT(TH!L260,2)="15",LEFT(TH!M260,2)="15"),'152-CT'!$J$8=TH!F260),"x","")</f>
        <v/>
      </c>
      <c r="Y260" s="49" t="str">
        <f>IF(AND(OR(LEFT(TH!L260,2)="15",LEFT(TH!M260,2)="15"),TK!$E$7=TH!F260),"x","")</f>
        <v/>
      </c>
      <c r="Z260" s="49" t="str">
        <f>IF(AND(B260&lt;=NKC!$N$8,B260&gt;=NKC!$M$8),"x","")</f>
        <v/>
      </c>
      <c r="AA260" s="723"/>
      <c r="AB260" s="497"/>
    </row>
    <row r="261" spans="1:28" s="199" customFormat="1" ht="15.75" hidden="1" customHeight="1">
      <c r="A261" s="724" t="str">
        <f>IF(B261&lt;&gt;"",IF(AND(B261&gt;=_TM1,B261&lt;=_TM2,OR(TH!L261="1111",TH!M261="1111")),TH!D261,""),"")</f>
        <v/>
      </c>
      <c r="B261" s="36">
        <f t="shared" si="15"/>
        <v>12</v>
      </c>
      <c r="C261" s="185">
        <f t="shared" si="16"/>
        <v>41274</v>
      </c>
      <c r="D261" s="185" t="s">
        <v>592</v>
      </c>
      <c r="E261" s="185">
        <v>41274</v>
      </c>
      <c r="F261" s="186" t="s">
        <v>393</v>
      </c>
      <c r="G261" s="732"/>
      <c r="H261" s="187" t="s">
        <v>627</v>
      </c>
      <c r="I261" s="247">
        <v>574</v>
      </c>
      <c r="J261" s="247">
        <v>11048</v>
      </c>
      <c r="K261" s="505">
        <f t="shared" si="17"/>
        <v>6341552</v>
      </c>
      <c r="L261" s="506" t="s">
        <v>160</v>
      </c>
      <c r="M261" s="506" t="s">
        <v>375</v>
      </c>
      <c r="N261" s="49" t="str">
        <f>IF(AND('331-CT'!$E$7=TH!H261,OR(L261="331",M261="331")),"331",IF(AND(OR(L261="131",M261="131"),H261='131-CT'!$E$7),"131",""))</f>
        <v/>
      </c>
      <c r="O261" s="49" t="str">
        <f>IF(AND($B261&gt;='111'!$N$11,$B261&lt;='111'!$O$11,OR($L261=$O$7,$M261=$O$7)),"x","")</f>
        <v/>
      </c>
      <c r="P261" s="49" t="str">
        <f>IF(AND($L261=$O$7,$B261&lt;'111'!$N$11),"x","")</f>
        <v/>
      </c>
      <c r="Q261" s="49" t="str">
        <f>IF(AND($M261=$O$7,$B261&lt;'111'!$N$11),"x","")</f>
        <v/>
      </c>
      <c r="R261" s="49" t="str">
        <f>IF(ISERROR(FIND('112'!$M$9,G261,1)),"",IF((AND(FIND('112'!$M$9,G261,1)&gt;=1,$B261&gt;='112'!$N$8,$B261&lt;='112'!$O$8,OR($L261='112'!$I$6,$M261='112'!$I$6))),"x",""))</f>
        <v/>
      </c>
      <c r="S261" s="49" t="str">
        <f>IF(ISERROR(FIND('112'!$M$9,G261,1)),"",IF((AND(LEFT(G261,2)=LEFT('112'!$M$9,2),B261&lt;'112'!$N$8,$L261='112'!$I$6)),"x",""))</f>
        <v/>
      </c>
      <c r="T261" s="49" t="str">
        <f>IF(ISERROR(FIND('112'!$M$9,G261,1)),"",IF((AND(RIGHT(G261,2)=RIGHT('112'!$M$9,2),B261&lt;'112'!$N$8,$M261='112'!$I$6)),"x",""))</f>
        <v/>
      </c>
      <c r="U261" s="49" t="str">
        <f>IF(AND(L261="154",'154'!$O$5&lt;=B261,'154'!$P$5&gt;=B261),"154",IF(AND(L261="632",'632'!$L$5&lt;=B261,'632'!$M$5&gt;=B261),"632",IF(AND(L261="642",'642'!$N$5&lt;=B261,'642'!$O$5&gt;=B261),"642",IF(AND(L261="641",'641'!$N$5&lt;=B261,'641'!$O$5&gt;=B261),"641",""))))</f>
        <v/>
      </c>
      <c r="V261" s="49" t="str">
        <f>IF(OR(TH!L261=TH!$V$7,M261=TH!$V$7),"x","")</f>
        <v/>
      </c>
      <c r="W261" s="49" t="str">
        <f>IF(AND(B261&gt;='IN-NX'!$P$3,B261&lt;='IN-NX'!$Q$3,'IN-NX'!$D$7=D261,OR(LEFT(L261,2)="15",AND(LEFT(M261,2)&lt;&gt;"15",LEFT(M261,2)&lt;&gt;"33"))),"x","")</f>
        <v/>
      </c>
      <c r="X261" s="49" t="str">
        <f>IF(AND(OR(LEFT(TH!L261,2)="15",LEFT(TH!M261,2)="15"),'152-CT'!$J$8=TH!F261),"x","")</f>
        <v/>
      </c>
      <c r="Y261" s="49" t="str">
        <f>IF(AND(OR(LEFT(TH!L261,2)="15",LEFT(TH!M261,2)="15"),TK!$E$7=TH!F261),"x","")</f>
        <v/>
      </c>
      <c r="Z261" s="49" t="str">
        <f>IF(AND(B261&lt;=NKC!$N$8,B261&gt;=NKC!$M$8),"x","")</f>
        <v/>
      </c>
      <c r="AA261" s="723"/>
      <c r="AB261" s="497"/>
    </row>
    <row r="262" spans="1:28" s="199" customFormat="1" ht="15.75" hidden="1" customHeight="1">
      <c r="A262" s="724" t="str">
        <f>IF(B262&lt;&gt;"",IF(AND(B262&gt;=_TM1,B262&lt;=_TM2,OR(TH!L262="1111",TH!M262="1111")),TH!D262,""),"")</f>
        <v/>
      </c>
      <c r="B262" s="36">
        <f t="shared" si="15"/>
        <v>12</v>
      </c>
      <c r="C262" s="185">
        <f t="shared" si="16"/>
        <v>41274</v>
      </c>
      <c r="D262" s="185" t="s">
        <v>592</v>
      </c>
      <c r="E262" s="185">
        <v>41274</v>
      </c>
      <c r="F262" s="186" t="s">
        <v>422</v>
      </c>
      <c r="G262" s="732"/>
      <c r="H262" s="187" t="s">
        <v>627</v>
      </c>
      <c r="I262" s="247">
        <v>1588</v>
      </c>
      <c r="J262" s="247">
        <v>10286</v>
      </c>
      <c r="K262" s="505">
        <f t="shared" si="17"/>
        <v>16334168</v>
      </c>
      <c r="L262" s="506" t="s">
        <v>160</v>
      </c>
      <c r="M262" s="506" t="s">
        <v>375</v>
      </c>
      <c r="N262" s="49" t="str">
        <f>IF(AND('331-CT'!$E$7=TH!H262,OR(L262="331",M262="331")),"331",IF(AND(OR(L262="131",M262="131"),H262='131-CT'!$E$7),"131",""))</f>
        <v/>
      </c>
      <c r="O262" s="49" t="str">
        <f>IF(AND($B262&gt;='111'!$N$11,$B262&lt;='111'!$O$11,OR($L262=$O$7,$M262=$O$7)),"x","")</f>
        <v/>
      </c>
      <c r="P262" s="49" t="str">
        <f>IF(AND($L262=$O$7,$B262&lt;'111'!$N$11),"x","")</f>
        <v/>
      </c>
      <c r="Q262" s="49" t="str">
        <f>IF(AND($M262=$O$7,$B262&lt;'111'!$N$11),"x","")</f>
        <v/>
      </c>
      <c r="R262" s="49" t="str">
        <f>IF(ISERROR(FIND('112'!$M$9,G262,1)),"",IF((AND(FIND('112'!$M$9,G262,1)&gt;=1,$B262&gt;='112'!$N$8,$B262&lt;='112'!$O$8,OR($L262='112'!$I$6,$M262='112'!$I$6))),"x",""))</f>
        <v/>
      </c>
      <c r="S262" s="49" t="str">
        <f>IF(ISERROR(FIND('112'!$M$9,G262,1)),"",IF((AND(LEFT(G262,2)=LEFT('112'!$M$9,2),B262&lt;'112'!$N$8,$L262='112'!$I$6)),"x",""))</f>
        <v/>
      </c>
      <c r="T262" s="49" t="str">
        <f>IF(ISERROR(FIND('112'!$M$9,G262,1)),"",IF((AND(RIGHT(G262,2)=RIGHT('112'!$M$9,2),B262&lt;'112'!$N$8,$M262='112'!$I$6)),"x",""))</f>
        <v/>
      </c>
      <c r="U262" s="49" t="str">
        <f>IF(AND(L262="154",'154'!$O$5&lt;=B262,'154'!$P$5&gt;=B262),"154",IF(AND(L262="632",'632'!$L$5&lt;=B262,'632'!$M$5&gt;=B262),"632",IF(AND(L262="642",'642'!$N$5&lt;=B262,'642'!$O$5&gt;=B262),"642",IF(AND(L262="641",'641'!$N$5&lt;=B262,'641'!$O$5&gt;=B262),"641",""))))</f>
        <v/>
      </c>
      <c r="V262" s="49" t="str">
        <f>IF(OR(TH!L262=TH!$V$7,M262=TH!$V$7),"x","")</f>
        <v/>
      </c>
      <c r="W262" s="49" t="str">
        <f>IF(AND(B262&gt;='IN-NX'!$P$3,B262&lt;='IN-NX'!$Q$3,'IN-NX'!$D$7=D262,OR(LEFT(L262,2)="15",AND(LEFT(M262,2)&lt;&gt;"15",LEFT(M262,2)&lt;&gt;"33"))),"x","")</f>
        <v/>
      </c>
      <c r="X262" s="49" t="str">
        <f>IF(AND(OR(LEFT(TH!L262,2)="15",LEFT(TH!M262,2)="15"),'152-CT'!$J$8=TH!F262),"x","")</f>
        <v/>
      </c>
      <c r="Y262" s="49" t="str">
        <f>IF(AND(OR(LEFT(TH!L262,2)="15",LEFT(TH!M262,2)="15"),TK!$E$7=TH!F262),"x","")</f>
        <v/>
      </c>
      <c r="Z262" s="49" t="str">
        <f>IF(AND(B262&lt;=NKC!$N$8,B262&gt;=NKC!$M$8),"x","")</f>
        <v/>
      </c>
      <c r="AA262" s="723"/>
      <c r="AB262" s="497"/>
    </row>
    <row r="263" spans="1:28" s="199" customFormat="1" ht="15.75" hidden="1" customHeight="1">
      <c r="A263" s="724" t="str">
        <f>IF(B263&lt;&gt;"",IF(AND(B263&gt;=_TM1,B263&lt;=_TM2,OR(TH!L263="1111",TH!M263="1111")),TH!D263,""),"")</f>
        <v/>
      </c>
      <c r="B263" s="36">
        <f t="shared" si="15"/>
        <v>12</v>
      </c>
      <c r="C263" s="185">
        <f t="shared" si="16"/>
        <v>41274</v>
      </c>
      <c r="D263" s="185" t="s">
        <v>592</v>
      </c>
      <c r="E263" s="185">
        <v>41274</v>
      </c>
      <c r="F263" s="186" t="s">
        <v>466</v>
      </c>
      <c r="G263" s="732"/>
      <c r="H263" s="187" t="s">
        <v>627</v>
      </c>
      <c r="I263" s="247">
        <v>500</v>
      </c>
      <c r="J263" s="247">
        <v>12194</v>
      </c>
      <c r="K263" s="505">
        <f t="shared" si="17"/>
        <v>6097000</v>
      </c>
      <c r="L263" s="506" t="s">
        <v>160</v>
      </c>
      <c r="M263" s="506" t="s">
        <v>375</v>
      </c>
      <c r="N263" s="49" t="str">
        <f>IF(AND('331-CT'!$E$7=TH!H263,OR(L263="331",M263="331")),"331",IF(AND(OR(L263="131",M263="131"),H263='131-CT'!$E$7),"131",""))</f>
        <v/>
      </c>
      <c r="O263" s="49" t="str">
        <f>IF(AND($B263&gt;='111'!$N$11,$B263&lt;='111'!$O$11,OR($L263=$O$7,$M263=$O$7)),"x","")</f>
        <v/>
      </c>
      <c r="P263" s="49" t="str">
        <f>IF(AND($L263=$O$7,$B263&lt;'111'!$N$11),"x","")</f>
        <v/>
      </c>
      <c r="Q263" s="49" t="str">
        <f>IF(AND($M263=$O$7,$B263&lt;'111'!$N$11),"x","")</f>
        <v/>
      </c>
      <c r="R263" s="49" t="str">
        <f>IF(ISERROR(FIND('112'!$M$9,G263,1)),"",IF((AND(FIND('112'!$M$9,G263,1)&gt;=1,$B263&gt;='112'!$N$8,$B263&lt;='112'!$O$8,OR($L263='112'!$I$6,$M263='112'!$I$6))),"x",""))</f>
        <v/>
      </c>
      <c r="S263" s="49" t="str">
        <f>IF(ISERROR(FIND('112'!$M$9,G263,1)),"",IF((AND(LEFT(G263,2)=LEFT('112'!$M$9,2),B263&lt;'112'!$N$8,$L263='112'!$I$6)),"x",""))</f>
        <v/>
      </c>
      <c r="T263" s="49" t="str">
        <f>IF(ISERROR(FIND('112'!$M$9,G263,1)),"",IF((AND(RIGHT(G263,2)=RIGHT('112'!$M$9,2),B263&lt;'112'!$N$8,$M263='112'!$I$6)),"x",""))</f>
        <v/>
      </c>
      <c r="U263" s="49" t="str">
        <f>IF(AND(L263="154",'154'!$O$5&lt;=B263,'154'!$P$5&gt;=B263),"154",IF(AND(L263="632",'632'!$L$5&lt;=B263,'632'!$M$5&gt;=B263),"632",IF(AND(L263="642",'642'!$N$5&lt;=B263,'642'!$O$5&gt;=B263),"642",IF(AND(L263="641",'641'!$N$5&lt;=B263,'641'!$O$5&gt;=B263),"641",""))))</f>
        <v/>
      </c>
      <c r="V263" s="49" t="str">
        <f>IF(OR(TH!L263=TH!$V$7,M263=TH!$V$7),"x","")</f>
        <v/>
      </c>
      <c r="W263" s="49" t="str">
        <f>IF(AND(B263&gt;='IN-NX'!$P$3,B263&lt;='IN-NX'!$Q$3,'IN-NX'!$D$7=D263,OR(LEFT(L263,2)="15",AND(LEFT(M263,2)&lt;&gt;"15",LEFT(M263,2)&lt;&gt;"33"))),"x","")</f>
        <v/>
      </c>
      <c r="X263" s="49" t="str">
        <f>IF(AND(OR(LEFT(TH!L263,2)="15",LEFT(TH!M263,2)="15"),'152-CT'!$J$8=TH!F263),"x","")</f>
        <v/>
      </c>
      <c r="Y263" s="49" t="str">
        <f>IF(AND(OR(LEFT(TH!L263,2)="15",LEFT(TH!M263,2)="15"),TK!$E$7=TH!F263),"x","")</f>
        <v/>
      </c>
      <c r="Z263" s="49" t="str">
        <f>IF(AND(B263&lt;=NKC!$N$8,B263&gt;=NKC!$M$8),"x","")</f>
        <v/>
      </c>
      <c r="AA263" s="723"/>
      <c r="AB263" s="497"/>
    </row>
    <row r="264" spans="1:28" s="199" customFormat="1" ht="15.75" hidden="1" customHeight="1">
      <c r="A264" s="724" t="str">
        <f>IF(B264&lt;&gt;"",IF(AND(B264&gt;=_TM1,B264&lt;=_TM2,OR(TH!L264="1111",TH!M264="1111")),TH!D264,""),"")</f>
        <v/>
      </c>
      <c r="B264" s="36">
        <f t="shared" si="15"/>
        <v>12</v>
      </c>
      <c r="C264" s="185">
        <f t="shared" si="16"/>
        <v>41274</v>
      </c>
      <c r="D264" s="185" t="s">
        <v>592</v>
      </c>
      <c r="E264" s="185">
        <v>41274</v>
      </c>
      <c r="F264" s="186" t="s">
        <v>415</v>
      </c>
      <c r="G264" s="732"/>
      <c r="H264" s="187" t="s">
        <v>627</v>
      </c>
      <c r="I264" s="247">
        <v>1000</v>
      </c>
      <c r="J264" s="247">
        <v>12319</v>
      </c>
      <c r="K264" s="505">
        <f t="shared" si="17"/>
        <v>12319000</v>
      </c>
      <c r="L264" s="506" t="s">
        <v>160</v>
      </c>
      <c r="M264" s="506" t="s">
        <v>375</v>
      </c>
      <c r="N264" s="49" t="str">
        <f>IF(AND('331-CT'!$E$7=TH!H264,OR(L264="331",M264="331")),"331",IF(AND(OR(L264="131",M264="131"),H264='131-CT'!$E$7),"131",""))</f>
        <v/>
      </c>
      <c r="O264" s="49" t="str">
        <f>IF(AND($B264&gt;='111'!$N$11,$B264&lt;='111'!$O$11,OR($L264=$O$7,$M264=$O$7)),"x","")</f>
        <v/>
      </c>
      <c r="P264" s="49" t="str">
        <f>IF(AND($L264=$O$7,$B264&lt;'111'!$N$11),"x","")</f>
        <v/>
      </c>
      <c r="Q264" s="49" t="str">
        <f>IF(AND($M264=$O$7,$B264&lt;'111'!$N$11),"x","")</f>
        <v/>
      </c>
      <c r="R264" s="49" t="str">
        <f>IF(ISERROR(FIND('112'!$M$9,G264,1)),"",IF((AND(FIND('112'!$M$9,G264,1)&gt;=1,$B264&gt;='112'!$N$8,$B264&lt;='112'!$O$8,OR($L264='112'!$I$6,$M264='112'!$I$6))),"x",""))</f>
        <v/>
      </c>
      <c r="S264" s="49" t="str">
        <f>IF(ISERROR(FIND('112'!$M$9,G264,1)),"",IF((AND(LEFT(G264,2)=LEFT('112'!$M$9,2),B264&lt;'112'!$N$8,$L264='112'!$I$6)),"x",""))</f>
        <v/>
      </c>
      <c r="T264" s="49" t="str">
        <f>IF(ISERROR(FIND('112'!$M$9,G264,1)),"",IF((AND(RIGHT(G264,2)=RIGHT('112'!$M$9,2),B264&lt;'112'!$N$8,$M264='112'!$I$6)),"x",""))</f>
        <v/>
      </c>
      <c r="U264" s="49" t="str">
        <f>IF(AND(L264="154",'154'!$O$5&lt;=B264,'154'!$P$5&gt;=B264),"154",IF(AND(L264="632",'632'!$L$5&lt;=B264,'632'!$M$5&gt;=B264),"632",IF(AND(L264="642",'642'!$N$5&lt;=B264,'642'!$O$5&gt;=B264),"642",IF(AND(L264="641",'641'!$N$5&lt;=B264,'641'!$O$5&gt;=B264),"641",""))))</f>
        <v/>
      </c>
      <c r="V264" s="49" t="str">
        <f>IF(OR(TH!L264=TH!$V$7,M264=TH!$V$7),"x","")</f>
        <v/>
      </c>
      <c r="W264" s="49" t="str">
        <f>IF(AND(B264&gt;='IN-NX'!$P$3,B264&lt;='IN-NX'!$Q$3,'IN-NX'!$D$7=D264,OR(LEFT(L264,2)="15",AND(LEFT(M264,2)&lt;&gt;"15",LEFT(M264,2)&lt;&gt;"33"))),"x","")</f>
        <v/>
      </c>
      <c r="X264" s="49" t="str">
        <f>IF(AND(OR(LEFT(TH!L264,2)="15",LEFT(TH!M264,2)="15"),'152-CT'!$J$8=TH!F264),"x","")</f>
        <v/>
      </c>
      <c r="Y264" s="49" t="str">
        <f>IF(AND(OR(LEFT(TH!L264,2)="15",LEFT(TH!M264,2)="15"),TK!$E$7=TH!F264),"x","")</f>
        <v>x</v>
      </c>
      <c r="Z264" s="49" t="str">
        <f>IF(AND(B264&lt;=NKC!$N$8,B264&gt;=NKC!$M$8),"x","")</f>
        <v/>
      </c>
      <c r="AA264" s="723"/>
      <c r="AB264" s="497"/>
    </row>
    <row r="265" spans="1:28" s="199" customFormat="1" ht="15.75" hidden="1" customHeight="1">
      <c r="A265" s="724" t="str">
        <f>IF(B265&lt;&gt;"",IF(AND(B265&gt;=_TM1,B265&lt;=_TM2,OR(TH!L265="1111",TH!M265="1111")),TH!D265,""),"")</f>
        <v/>
      </c>
      <c r="B265" s="36">
        <f t="shared" ref="B265:B283" si="18">IF(C265&lt;&gt;"",MONTH(C265),"")</f>
        <v>12</v>
      </c>
      <c r="C265" s="185">
        <f t="shared" si="16"/>
        <v>41274</v>
      </c>
      <c r="D265" s="185" t="s">
        <v>592</v>
      </c>
      <c r="E265" s="185">
        <v>41274</v>
      </c>
      <c r="F265" s="186" t="s">
        <v>455</v>
      </c>
      <c r="G265" s="732"/>
      <c r="H265" s="187" t="s">
        <v>627</v>
      </c>
      <c r="I265" s="247">
        <v>502</v>
      </c>
      <c r="J265" s="247">
        <v>11186</v>
      </c>
      <c r="K265" s="505">
        <f t="shared" si="17"/>
        <v>5615372</v>
      </c>
      <c r="L265" s="506" t="s">
        <v>160</v>
      </c>
      <c r="M265" s="506" t="s">
        <v>375</v>
      </c>
      <c r="N265" s="49" t="str">
        <f>IF(AND('331-CT'!$E$7=TH!H265,OR(L265="331",M265="331")),"331",IF(AND(OR(L265="131",M265="131"),H265='131-CT'!$E$7),"131",""))</f>
        <v/>
      </c>
      <c r="O265" s="49" t="str">
        <f>IF(AND($B265&gt;='111'!$N$11,$B265&lt;='111'!$O$11,OR($L265=$O$7,$M265=$O$7)),"x","")</f>
        <v/>
      </c>
      <c r="P265" s="49" t="str">
        <f>IF(AND($L265=$O$7,$B265&lt;'111'!$N$11),"x","")</f>
        <v/>
      </c>
      <c r="Q265" s="49" t="str">
        <f>IF(AND($M265=$O$7,$B265&lt;'111'!$N$11),"x","")</f>
        <v/>
      </c>
      <c r="R265" s="49" t="str">
        <f>IF(ISERROR(FIND('112'!$M$9,G265,1)),"",IF((AND(FIND('112'!$M$9,G265,1)&gt;=1,$B265&gt;='112'!$N$8,$B265&lt;='112'!$O$8,OR($L265='112'!$I$6,$M265='112'!$I$6))),"x",""))</f>
        <v/>
      </c>
      <c r="S265" s="49" t="str">
        <f>IF(ISERROR(FIND('112'!$M$9,G265,1)),"",IF((AND(LEFT(G265,2)=LEFT('112'!$M$9,2),B265&lt;'112'!$N$8,$L265='112'!$I$6)),"x",""))</f>
        <v/>
      </c>
      <c r="T265" s="49" t="str">
        <f>IF(ISERROR(FIND('112'!$M$9,G265,1)),"",IF((AND(RIGHT(G265,2)=RIGHT('112'!$M$9,2),B265&lt;'112'!$N$8,$M265='112'!$I$6)),"x",""))</f>
        <v/>
      </c>
      <c r="U265" s="49" t="str">
        <f>IF(AND(L265="154",'154'!$O$5&lt;=B265,'154'!$P$5&gt;=B265),"154",IF(AND(L265="632",'632'!$L$5&lt;=B265,'632'!$M$5&gt;=B265),"632",IF(AND(L265="642",'642'!$N$5&lt;=B265,'642'!$O$5&gt;=B265),"642",IF(AND(L265="641",'641'!$N$5&lt;=B265,'641'!$O$5&gt;=B265),"641",""))))</f>
        <v/>
      </c>
      <c r="V265" s="49" t="str">
        <f>IF(OR(TH!L265=TH!$V$7,M265=TH!$V$7),"x","")</f>
        <v/>
      </c>
      <c r="W265" s="49" t="str">
        <f>IF(AND(B265&gt;='IN-NX'!$P$3,B265&lt;='IN-NX'!$Q$3,'IN-NX'!$D$7=D265,OR(LEFT(L265,2)="15",AND(LEFT(M265,2)&lt;&gt;"15",LEFT(M265,2)&lt;&gt;"33"))),"x","")</f>
        <v/>
      </c>
      <c r="X265" s="49" t="str">
        <f>IF(AND(OR(LEFT(TH!L265,2)="15",LEFT(TH!M265,2)="15"),'152-CT'!$J$8=TH!F265),"x","")</f>
        <v/>
      </c>
      <c r="Y265" s="49" t="str">
        <f>IF(AND(OR(LEFT(TH!L265,2)="15",LEFT(TH!M265,2)="15"),TK!$E$7=TH!F265),"x","")</f>
        <v/>
      </c>
      <c r="Z265" s="49" t="str">
        <f>IF(AND(B265&lt;=NKC!$N$8,B265&gt;=NKC!$M$8),"x","")</f>
        <v/>
      </c>
      <c r="AA265" s="723"/>
      <c r="AB265" s="497"/>
    </row>
    <row r="266" spans="1:28" s="199" customFormat="1" ht="15.75" hidden="1" customHeight="1">
      <c r="A266" s="724" t="str">
        <f>IF(B266&lt;&gt;"",IF(AND(B266&gt;=_TM1,B266&lt;=_TM2,OR(TH!L266="1111",TH!M266="1111")),TH!D266,""),"")</f>
        <v/>
      </c>
      <c r="B266" s="36">
        <f t="shared" si="18"/>
        <v>12</v>
      </c>
      <c r="C266" s="185">
        <f t="shared" si="16"/>
        <v>41274</v>
      </c>
      <c r="D266" s="185" t="s">
        <v>592</v>
      </c>
      <c r="E266" s="185">
        <v>41274</v>
      </c>
      <c r="F266" s="186" t="s">
        <v>454</v>
      </c>
      <c r="G266" s="732"/>
      <c r="H266" s="187" t="s">
        <v>627</v>
      </c>
      <c r="I266" s="247">
        <v>150</v>
      </c>
      <c r="J266" s="247">
        <v>10230</v>
      </c>
      <c r="K266" s="505">
        <f t="shared" si="17"/>
        <v>1534500</v>
      </c>
      <c r="L266" s="506" t="s">
        <v>160</v>
      </c>
      <c r="M266" s="506" t="s">
        <v>375</v>
      </c>
      <c r="N266" s="49" t="str">
        <f>IF(AND('331-CT'!$E$7=TH!H266,OR(L266="331",M266="331")),"331",IF(AND(OR(L266="131",M266="131"),H266='131-CT'!$E$7),"131",""))</f>
        <v/>
      </c>
      <c r="O266" s="49" t="str">
        <f>IF(AND($B266&gt;='111'!$N$11,$B266&lt;='111'!$O$11,OR($L266=$O$7,$M266=$O$7)),"x","")</f>
        <v/>
      </c>
      <c r="P266" s="49" t="str">
        <f>IF(AND($L266=$O$7,$B266&lt;'111'!$N$11),"x","")</f>
        <v/>
      </c>
      <c r="Q266" s="49" t="str">
        <f>IF(AND($M266=$O$7,$B266&lt;'111'!$N$11),"x","")</f>
        <v/>
      </c>
      <c r="R266" s="49" t="str">
        <f>IF(ISERROR(FIND('112'!$M$9,G266,1)),"",IF((AND(FIND('112'!$M$9,G266,1)&gt;=1,$B266&gt;='112'!$N$8,$B266&lt;='112'!$O$8,OR($L266='112'!$I$6,$M266='112'!$I$6))),"x",""))</f>
        <v/>
      </c>
      <c r="S266" s="49" t="str">
        <f>IF(ISERROR(FIND('112'!$M$9,G266,1)),"",IF((AND(LEFT(G266,2)=LEFT('112'!$M$9,2),B266&lt;'112'!$N$8,$L266='112'!$I$6)),"x",""))</f>
        <v/>
      </c>
      <c r="T266" s="49" t="str">
        <f>IF(ISERROR(FIND('112'!$M$9,G266,1)),"",IF((AND(RIGHT(G266,2)=RIGHT('112'!$M$9,2),B266&lt;'112'!$N$8,$M266='112'!$I$6)),"x",""))</f>
        <v/>
      </c>
      <c r="U266" s="49" t="str">
        <f>IF(AND(L266="154",'154'!$O$5&lt;=B266,'154'!$P$5&gt;=B266),"154",IF(AND(L266="632",'632'!$L$5&lt;=B266,'632'!$M$5&gt;=B266),"632",IF(AND(L266="642",'642'!$N$5&lt;=B266,'642'!$O$5&gt;=B266),"642",IF(AND(L266="641",'641'!$N$5&lt;=B266,'641'!$O$5&gt;=B266),"641",""))))</f>
        <v/>
      </c>
      <c r="V266" s="49" t="str">
        <f>IF(OR(TH!L266=TH!$V$7,M266=TH!$V$7),"x","")</f>
        <v/>
      </c>
      <c r="W266" s="49" t="str">
        <f>IF(AND(B266&gt;='IN-NX'!$P$3,B266&lt;='IN-NX'!$Q$3,'IN-NX'!$D$7=D266,OR(LEFT(L266,2)="15",AND(LEFT(M266,2)&lt;&gt;"15",LEFT(M266,2)&lt;&gt;"33"))),"x","")</f>
        <v/>
      </c>
      <c r="X266" s="49" t="str">
        <f>IF(AND(OR(LEFT(TH!L266,2)="15",LEFT(TH!M266,2)="15"),'152-CT'!$J$8=TH!F266),"x","")</f>
        <v/>
      </c>
      <c r="Y266" s="49" t="str">
        <f>IF(AND(OR(LEFT(TH!L266,2)="15",LEFT(TH!M266,2)="15"),TK!$E$7=TH!F266),"x","")</f>
        <v/>
      </c>
      <c r="Z266" s="49" t="str">
        <f>IF(AND(B266&lt;=NKC!$N$8,B266&gt;=NKC!$M$8),"x","")</f>
        <v/>
      </c>
      <c r="AA266" s="723"/>
      <c r="AB266" s="497"/>
    </row>
    <row r="267" spans="1:28" s="199" customFormat="1" ht="15.75" hidden="1" customHeight="1">
      <c r="A267" s="724" t="str">
        <f>IF(B267&lt;&gt;"",IF(AND(B267&gt;=_TM1,B267&lt;=_TM2,OR(TH!L267="1111",TH!M267="1111")),TH!D267,""),"")</f>
        <v/>
      </c>
      <c r="B267" s="36">
        <f t="shared" si="18"/>
        <v>12</v>
      </c>
      <c r="C267" s="185">
        <f t="shared" si="16"/>
        <v>41274</v>
      </c>
      <c r="D267" s="185" t="s">
        <v>592</v>
      </c>
      <c r="E267" s="185">
        <v>41274</v>
      </c>
      <c r="F267" s="186" t="s">
        <v>429</v>
      </c>
      <c r="G267" s="732"/>
      <c r="H267" s="187" t="s">
        <v>627</v>
      </c>
      <c r="I267" s="247">
        <v>275</v>
      </c>
      <c r="J267" s="247">
        <v>8556</v>
      </c>
      <c r="K267" s="505">
        <f t="shared" si="17"/>
        <v>2352900</v>
      </c>
      <c r="L267" s="506" t="s">
        <v>160</v>
      </c>
      <c r="M267" s="506" t="s">
        <v>375</v>
      </c>
      <c r="N267" s="49" t="str">
        <f>IF(AND('331-CT'!$E$7=TH!H267,OR(L267="331",M267="331")),"331",IF(AND(OR(L267="131",M267="131"),H267='131-CT'!$E$7),"131",""))</f>
        <v/>
      </c>
      <c r="O267" s="49" t="str">
        <f>IF(AND($B267&gt;='111'!$N$11,$B267&lt;='111'!$O$11,OR($L267=$O$7,$M267=$O$7)),"x","")</f>
        <v/>
      </c>
      <c r="P267" s="49" t="str">
        <f>IF(AND($L267=$O$7,$B267&lt;'111'!$N$11),"x","")</f>
        <v/>
      </c>
      <c r="Q267" s="49" t="str">
        <f>IF(AND($M267=$O$7,$B267&lt;'111'!$N$11),"x","")</f>
        <v/>
      </c>
      <c r="R267" s="49" t="str">
        <f>IF(ISERROR(FIND('112'!$M$9,G267,1)),"",IF((AND(FIND('112'!$M$9,G267,1)&gt;=1,$B267&gt;='112'!$N$8,$B267&lt;='112'!$O$8,OR($L267='112'!$I$6,$M267='112'!$I$6))),"x",""))</f>
        <v/>
      </c>
      <c r="S267" s="49" t="str">
        <f>IF(ISERROR(FIND('112'!$M$9,G267,1)),"",IF((AND(LEFT(G267,2)=LEFT('112'!$M$9,2),B267&lt;'112'!$N$8,$L267='112'!$I$6)),"x",""))</f>
        <v/>
      </c>
      <c r="T267" s="49" t="str">
        <f>IF(ISERROR(FIND('112'!$M$9,G267,1)),"",IF((AND(RIGHT(G267,2)=RIGHT('112'!$M$9,2),B267&lt;'112'!$N$8,$M267='112'!$I$6)),"x",""))</f>
        <v/>
      </c>
      <c r="U267" s="49" t="str">
        <f>IF(AND(L267="154",'154'!$O$5&lt;=B267,'154'!$P$5&gt;=B267),"154",IF(AND(L267="632",'632'!$L$5&lt;=B267,'632'!$M$5&gt;=B267),"632",IF(AND(L267="642",'642'!$N$5&lt;=B267,'642'!$O$5&gt;=B267),"642",IF(AND(L267="641",'641'!$N$5&lt;=B267,'641'!$O$5&gt;=B267),"641",""))))</f>
        <v/>
      </c>
      <c r="V267" s="49" t="str">
        <f>IF(OR(TH!L267=TH!$V$7,M267=TH!$V$7),"x","")</f>
        <v/>
      </c>
      <c r="W267" s="49" t="str">
        <f>IF(AND(B267&gt;='IN-NX'!$P$3,B267&lt;='IN-NX'!$Q$3,'IN-NX'!$D$7=D267,OR(LEFT(L267,2)="15",AND(LEFT(M267,2)&lt;&gt;"15",LEFT(M267,2)&lt;&gt;"33"))),"x","")</f>
        <v/>
      </c>
      <c r="X267" s="49" t="str">
        <f>IF(AND(OR(LEFT(TH!L267,2)="15",LEFT(TH!M267,2)="15"),'152-CT'!$J$8=TH!F267),"x","")</f>
        <v/>
      </c>
      <c r="Y267" s="49" t="str">
        <f>IF(AND(OR(LEFT(TH!L267,2)="15",LEFT(TH!M267,2)="15"),TK!$E$7=TH!F267),"x","")</f>
        <v/>
      </c>
      <c r="Z267" s="49" t="str">
        <f>IF(AND(B267&lt;=NKC!$N$8,B267&gt;=NKC!$M$8),"x","")</f>
        <v/>
      </c>
      <c r="AA267" s="723"/>
      <c r="AB267" s="497"/>
    </row>
    <row r="268" spans="1:28" s="199" customFormat="1" ht="15.75" hidden="1" customHeight="1">
      <c r="A268" s="724" t="str">
        <f>IF(B268&lt;&gt;"",IF(AND(B268&gt;=_TM1,B268&lt;=_TM2,OR(TH!L268="1111",TH!M268="1111")),TH!D268,""),"")</f>
        <v/>
      </c>
      <c r="B268" s="36">
        <f t="shared" si="18"/>
        <v>12</v>
      </c>
      <c r="C268" s="185">
        <f t="shared" si="16"/>
        <v>41274</v>
      </c>
      <c r="D268" s="185" t="s">
        <v>592</v>
      </c>
      <c r="E268" s="185">
        <v>41274</v>
      </c>
      <c r="F268" s="186" t="s">
        <v>429</v>
      </c>
      <c r="G268" s="732"/>
      <c r="H268" s="187" t="s">
        <v>627</v>
      </c>
      <c r="I268" s="247">
        <v>1125</v>
      </c>
      <c r="J268" s="247">
        <v>8556</v>
      </c>
      <c r="K268" s="505">
        <f t="shared" si="17"/>
        <v>9625500</v>
      </c>
      <c r="L268" s="506" t="s">
        <v>160</v>
      </c>
      <c r="M268" s="506" t="s">
        <v>375</v>
      </c>
      <c r="N268" s="49" t="str">
        <f>IF(AND('331-CT'!$E$7=TH!H268,OR(L268="331",M268="331")),"331",IF(AND(OR(L268="131",M268="131"),H268='131-CT'!$E$7),"131",""))</f>
        <v/>
      </c>
      <c r="O268" s="49" t="str">
        <f>IF(AND($B268&gt;='111'!$N$11,$B268&lt;='111'!$O$11,OR($L268=$O$7,$M268=$O$7)),"x","")</f>
        <v/>
      </c>
      <c r="P268" s="49" t="str">
        <f>IF(AND($L268=$O$7,$B268&lt;'111'!$N$11),"x","")</f>
        <v/>
      </c>
      <c r="Q268" s="49" t="str">
        <f>IF(AND($M268=$O$7,$B268&lt;'111'!$N$11),"x","")</f>
        <v/>
      </c>
      <c r="R268" s="49" t="str">
        <f>IF(ISERROR(FIND('112'!$M$9,G268,1)),"",IF((AND(FIND('112'!$M$9,G268,1)&gt;=1,$B268&gt;='112'!$N$8,$B268&lt;='112'!$O$8,OR($L268='112'!$I$6,$M268='112'!$I$6))),"x",""))</f>
        <v/>
      </c>
      <c r="S268" s="49" t="str">
        <f>IF(ISERROR(FIND('112'!$M$9,G268,1)),"",IF((AND(LEFT(G268,2)=LEFT('112'!$M$9,2),B268&lt;'112'!$N$8,$L268='112'!$I$6)),"x",""))</f>
        <v/>
      </c>
      <c r="T268" s="49" t="str">
        <f>IF(ISERROR(FIND('112'!$M$9,G268,1)),"",IF((AND(RIGHT(G268,2)=RIGHT('112'!$M$9,2),B268&lt;'112'!$N$8,$M268='112'!$I$6)),"x",""))</f>
        <v/>
      </c>
      <c r="U268" s="49" t="str">
        <f>IF(AND(L268="154",'154'!$O$5&lt;=B268,'154'!$P$5&gt;=B268),"154",IF(AND(L268="632",'632'!$L$5&lt;=B268,'632'!$M$5&gt;=B268),"632",IF(AND(L268="642",'642'!$N$5&lt;=B268,'642'!$O$5&gt;=B268),"642",IF(AND(L268="641",'641'!$N$5&lt;=B268,'641'!$O$5&gt;=B268),"641",""))))</f>
        <v/>
      </c>
      <c r="V268" s="49" t="str">
        <f>IF(OR(TH!L268=TH!$V$7,M268=TH!$V$7),"x","")</f>
        <v/>
      </c>
      <c r="W268" s="49" t="str">
        <f>IF(AND(B268&gt;='IN-NX'!$P$3,B268&lt;='IN-NX'!$Q$3,'IN-NX'!$D$7=D268,OR(LEFT(L268,2)="15",AND(LEFT(M268,2)&lt;&gt;"15",LEFT(M268,2)&lt;&gt;"33"))),"x","")</f>
        <v/>
      </c>
      <c r="X268" s="49" t="str">
        <f>IF(AND(OR(LEFT(TH!L268,2)="15",LEFT(TH!M268,2)="15"),'152-CT'!$J$8=TH!F268),"x","")</f>
        <v/>
      </c>
      <c r="Y268" s="49" t="str">
        <f>IF(AND(OR(LEFT(TH!L268,2)="15",LEFT(TH!M268,2)="15"),TK!$E$7=TH!F268),"x","")</f>
        <v/>
      </c>
      <c r="Z268" s="49" t="str">
        <f>IF(AND(B268&lt;=NKC!$N$8,B268&gt;=NKC!$M$8),"x","")</f>
        <v/>
      </c>
      <c r="AA268" s="723"/>
      <c r="AB268" s="497"/>
    </row>
    <row r="269" spans="1:28" s="199" customFormat="1" ht="15.75" hidden="1" customHeight="1">
      <c r="A269" s="724" t="str">
        <f>IF(B269&lt;&gt;"",IF(AND(B269&gt;=_TM1,B269&lt;=_TM2,OR(TH!L269="1111",TH!M269="1111")),TH!D269,""),"")</f>
        <v/>
      </c>
      <c r="B269" s="36">
        <f t="shared" si="18"/>
        <v>12</v>
      </c>
      <c r="C269" s="185">
        <f t="shared" si="16"/>
        <v>41274</v>
      </c>
      <c r="D269" s="185" t="s">
        <v>592</v>
      </c>
      <c r="E269" s="185">
        <v>41274</v>
      </c>
      <c r="F269" s="186" t="s">
        <v>429</v>
      </c>
      <c r="G269" s="732"/>
      <c r="H269" s="187" t="s">
        <v>627</v>
      </c>
      <c r="I269" s="247">
        <v>250</v>
      </c>
      <c r="J269" s="247">
        <v>8556</v>
      </c>
      <c r="K269" s="505">
        <f t="shared" si="17"/>
        <v>2139000</v>
      </c>
      <c r="L269" s="506" t="s">
        <v>160</v>
      </c>
      <c r="M269" s="506" t="s">
        <v>375</v>
      </c>
      <c r="N269" s="49" t="str">
        <f>IF(AND('331-CT'!$E$7=TH!H269,OR(L269="331",M269="331")),"331",IF(AND(OR(L269="131",M269="131"),H269='131-CT'!$E$7),"131",""))</f>
        <v/>
      </c>
      <c r="O269" s="49" t="str">
        <f>IF(AND($B269&gt;='111'!$N$11,$B269&lt;='111'!$O$11,OR($L269=$O$7,$M269=$O$7)),"x","")</f>
        <v/>
      </c>
      <c r="P269" s="49" t="str">
        <f>IF(AND($L269=$O$7,$B269&lt;'111'!$N$11),"x","")</f>
        <v/>
      </c>
      <c r="Q269" s="49" t="str">
        <f>IF(AND($M269=$O$7,$B269&lt;'111'!$N$11),"x","")</f>
        <v/>
      </c>
      <c r="R269" s="49" t="str">
        <f>IF(ISERROR(FIND('112'!$M$9,G269,1)),"",IF((AND(FIND('112'!$M$9,G269,1)&gt;=1,$B269&gt;='112'!$N$8,$B269&lt;='112'!$O$8,OR($L269='112'!$I$6,$M269='112'!$I$6))),"x",""))</f>
        <v/>
      </c>
      <c r="S269" s="49" t="str">
        <f>IF(ISERROR(FIND('112'!$M$9,G269,1)),"",IF((AND(LEFT(G269,2)=LEFT('112'!$M$9,2),B269&lt;'112'!$N$8,$L269='112'!$I$6)),"x",""))</f>
        <v/>
      </c>
      <c r="T269" s="49" t="str">
        <f>IF(ISERROR(FIND('112'!$M$9,G269,1)),"",IF((AND(RIGHT(G269,2)=RIGHT('112'!$M$9,2),B269&lt;'112'!$N$8,$M269='112'!$I$6)),"x",""))</f>
        <v/>
      </c>
      <c r="U269" s="49" t="str">
        <f>IF(AND(L269="154",'154'!$O$5&lt;=B269,'154'!$P$5&gt;=B269),"154",IF(AND(L269="632",'632'!$L$5&lt;=B269,'632'!$M$5&gt;=B269),"632",IF(AND(L269="642",'642'!$N$5&lt;=B269,'642'!$O$5&gt;=B269),"642",IF(AND(L269="641",'641'!$N$5&lt;=B269,'641'!$O$5&gt;=B269),"641",""))))</f>
        <v/>
      </c>
      <c r="V269" s="49" t="str">
        <f>IF(OR(TH!L269=TH!$V$7,M269=TH!$V$7),"x","")</f>
        <v/>
      </c>
      <c r="W269" s="49" t="str">
        <f>IF(AND(B269&gt;='IN-NX'!$P$3,B269&lt;='IN-NX'!$Q$3,'IN-NX'!$D$7=D269,OR(LEFT(L269,2)="15",AND(LEFT(M269,2)&lt;&gt;"15",LEFT(M269,2)&lt;&gt;"33"))),"x","")</f>
        <v/>
      </c>
      <c r="X269" s="49" t="str">
        <f>IF(AND(OR(LEFT(TH!L269,2)="15",LEFT(TH!M269,2)="15"),'152-CT'!$J$8=TH!F269),"x","")</f>
        <v/>
      </c>
      <c r="Y269" s="49" t="str">
        <f>IF(AND(OR(LEFT(TH!L269,2)="15",LEFT(TH!M269,2)="15"),TK!$E$7=TH!F269),"x","")</f>
        <v/>
      </c>
      <c r="Z269" s="49" t="str">
        <f>IF(AND(B269&lt;=NKC!$N$8,B269&gt;=NKC!$M$8),"x","")</f>
        <v/>
      </c>
      <c r="AA269" s="723"/>
      <c r="AB269" s="497"/>
    </row>
    <row r="270" spans="1:28" s="199" customFormat="1" ht="15.75" hidden="1" customHeight="1">
      <c r="A270" s="724" t="str">
        <f>IF(B270&lt;&gt;"",IF(AND(B270&gt;=_TM1,B270&lt;=_TM2,OR(TH!L270="1111",TH!M270="1111")),TH!D270,""),"")</f>
        <v/>
      </c>
      <c r="B270" s="36">
        <f t="shared" si="18"/>
        <v>12</v>
      </c>
      <c r="C270" s="185">
        <f t="shared" si="16"/>
        <v>41274</v>
      </c>
      <c r="D270" s="185" t="s">
        <v>592</v>
      </c>
      <c r="E270" s="185">
        <v>41274</v>
      </c>
      <c r="F270" s="186" t="s">
        <v>396</v>
      </c>
      <c r="G270" s="732"/>
      <c r="H270" s="187" t="s">
        <v>627</v>
      </c>
      <c r="I270" s="247">
        <v>1000</v>
      </c>
      <c r="J270" s="247">
        <v>11622</v>
      </c>
      <c r="K270" s="505">
        <f t="shared" si="17"/>
        <v>11622000</v>
      </c>
      <c r="L270" s="506" t="s">
        <v>160</v>
      </c>
      <c r="M270" s="506" t="s">
        <v>375</v>
      </c>
      <c r="N270" s="49" t="str">
        <f>IF(AND('331-CT'!$E$7=TH!H270,OR(L270="331",M270="331")),"331",IF(AND(OR(L270="131",M270="131"),H270='131-CT'!$E$7),"131",""))</f>
        <v/>
      </c>
      <c r="O270" s="49" t="str">
        <f>IF(AND($B270&gt;='111'!$N$11,$B270&lt;='111'!$O$11,OR($L270=$O$7,$M270=$O$7)),"x","")</f>
        <v/>
      </c>
      <c r="P270" s="49" t="str">
        <f>IF(AND($L270=$O$7,$B270&lt;'111'!$N$11),"x","")</f>
        <v/>
      </c>
      <c r="Q270" s="49" t="str">
        <f>IF(AND($M270=$O$7,$B270&lt;'111'!$N$11),"x","")</f>
        <v/>
      </c>
      <c r="R270" s="49" t="str">
        <f>IF(ISERROR(FIND('112'!$M$9,G270,1)),"",IF((AND(FIND('112'!$M$9,G270,1)&gt;=1,$B270&gt;='112'!$N$8,$B270&lt;='112'!$O$8,OR($L270='112'!$I$6,$M270='112'!$I$6))),"x",""))</f>
        <v/>
      </c>
      <c r="S270" s="49" t="str">
        <f>IF(ISERROR(FIND('112'!$M$9,G270,1)),"",IF((AND(LEFT(G270,2)=LEFT('112'!$M$9,2),B270&lt;'112'!$N$8,$L270='112'!$I$6)),"x",""))</f>
        <v/>
      </c>
      <c r="T270" s="49" t="str">
        <f>IF(ISERROR(FIND('112'!$M$9,G270,1)),"",IF((AND(RIGHT(G270,2)=RIGHT('112'!$M$9,2),B270&lt;'112'!$N$8,$M270='112'!$I$6)),"x",""))</f>
        <v/>
      </c>
      <c r="U270" s="49" t="str">
        <f>IF(AND(L270="154",'154'!$O$5&lt;=B270,'154'!$P$5&gt;=B270),"154",IF(AND(L270="632",'632'!$L$5&lt;=B270,'632'!$M$5&gt;=B270),"632",IF(AND(L270="642",'642'!$N$5&lt;=B270,'642'!$O$5&gt;=B270),"642",IF(AND(L270="641",'641'!$N$5&lt;=B270,'641'!$O$5&gt;=B270),"641",""))))</f>
        <v/>
      </c>
      <c r="V270" s="49" t="str">
        <f>IF(OR(TH!L270=TH!$V$7,M270=TH!$V$7),"x","")</f>
        <v/>
      </c>
      <c r="W270" s="49" t="str">
        <f>IF(AND(B270&gt;='IN-NX'!$P$3,B270&lt;='IN-NX'!$Q$3,'IN-NX'!$D$7=D270,OR(LEFT(L270,2)="15",AND(LEFT(M270,2)&lt;&gt;"15",LEFT(M270,2)&lt;&gt;"33"))),"x","")</f>
        <v/>
      </c>
      <c r="X270" s="49" t="str">
        <f>IF(AND(OR(LEFT(TH!L270,2)="15",LEFT(TH!M270,2)="15"),'152-CT'!$J$8=TH!F270),"x","")</f>
        <v/>
      </c>
      <c r="Y270" s="49" t="str">
        <f>IF(AND(OR(LEFT(TH!L270,2)="15",LEFT(TH!M270,2)="15"),TK!$E$7=TH!F270),"x","")</f>
        <v/>
      </c>
      <c r="Z270" s="49" t="str">
        <f>IF(AND(B270&lt;=NKC!$N$8,B270&gt;=NKC!$M$8),"x","")</f>
        <v/>
      </c>
      <c r="AA270" s="723"/>
      <c r="AB270" s="497"/>
    </row>
    <row r="271" spans="1:28" s="199" customFormat="1" ht="15.75" hidden="1" customHeight="1">
      <c r="A271" s="724" t="str">
        <f>IF(B271&lt;&gt;"",IF(AND(B271&gt;=_TM1,B271&lt;=_TM2,OR(TH!L271="1111",TH!M271="1111")),TH!D271,""),"")</f>
        <v/>
      </c>
      <c r="B271" s="36">
        <f t="shared" si="18"/>
        <v>12</v>
      </c>
      <c r="C271" s="185">
        <f t="shared" si="16"/>
        <v>41274</v>
      </c>
      <c r="D271" s="185" t="s">
        <v>592</v>
      </c>
      <c r="E271" s="185">
        <v>41274</v>
      </c>
      <c r="F271" s="186" t="s">
        <v>449</v>
      </c>
      <c r="G271" s="732"/>
      <c r="H271" s="187" t="s">
        <v>627</v>
      </c>
      <c r="I271" s="247">
        <v>175</v>
      </c>
      <c r="J271" s="247">
        <v>10546</v>
      </c>
      <c r="K271" s="505">
        <f t="shared" si="17"/>
        <v>1845550</v>
      </c>
      <c r="L271" s="506" t="s">
        <v>160</v>
      </c>
      <c r="M271" s="506" t="s">
        <v>375</v>
      </c>
      <c r="N271" s="49" t="str">
        <f>IF(AND('331-CT'!$E$7=TH!H271,OR(L271="331",M271="331")),"331",IF(AND(OR(L271="131",M271="131"),H271='131-CT'!$E$7),"131",""))</f>
        <v/>
      </c>
      <c r="O271" s="49" t="str">
        <f>IF(AND($B271&gt;='111'!$N$11,$B271&lt;='111'!$O$11,OR($L271=$O$7,$M271=$O$7)),"x","")</f>
        <v/>
      </c>
      <c r="P271" s="49" t="str">
        <f>IF(AND($L271=$O$7,$B271&lt;'111'!$N$11),"x","")</f>
        <v/>
      </c>
      <c r="Q271" s="49" t="str">
        <f>IF(AND($M271=$O$7,$B271&lt;'111'!$N$11),"x","")</f>
        <v/>
      </c>
      <c r="R271" s="49" t="str">
        <f>IF(ISERROR(FIND('112'!$M$9,G271,1)),"",IF((AND(FIND('112'!$M$9,G271,1)&gt;=1,$B271&gt;='112'!$N$8,$B271&lt;='112'!$O$8,OR($L271='112'!$I$6,$M271='112'!$I$6))),"x",""))</f>
        <v/>
      </c>
      <c r="S271" s="49" t="str">
        <f>IF(ISERROR(FIND('112'!$M$9,G271,1)),"",IF((AND(LEFT(G271,2)=LEFT('112'!$M$9,2),B271&lt;'112'!$N$8,$L271='112'!$I$6)),"x",""))</f>
        <v/>
      </c>
      <c r="T271" s="49" t="str">
        <f>IF(ISERROR(FIND('112'!$M$9,G271,1)),"",IF((AND(RIGHT(G271,2)=RIGHT('112'!$M$9,2),B271&lt;'112'!$N$8,$M271='112'!$I$6)),"x",""))</f>
        <v/>
      </c>
      <c r="U271" s="49" t="str">
        <f>IF(AND(L271="154",'154'!$O$5&lt;=B271,'154'!$P$5&gt;=B271),"154",IF(AND(L271="632",'632'!$L$5&lt;=B271,'632'!$M$5&gt;=B271),"632",IF(AND(L271="642",'642'!$N$5&lt;=B271,'642'!$O$5&gt;=B271),"642",IF(AND(L271="641",'641'!$N$5&lt;=B271,'641'!$O$5&gt;=B271),"641",""))))</f>
        <v/>
      </c>
      <c r="V271" s="49" t="str">
        <f>IF(OR(TH!L271=TH!$V$7,M271=TH!$V$7),"x","")</f>
        <v/>
      </c>
      <c r="W271" s="49" t="str">
        <f>IF(AND(B271&gt;='IN-NX'!$P$3,B271&lt;='IN-NX'!$Q$3,'IN-NX'!$D$7=D271,OR(LEFT(L271,2)="15",AND(LEFT(M271,2)&lt;&gt;"15",LEFT(M271,2)&lt;&gt;"33"))),"x","")</f>
        <v/>
      </c>
      <c r="X271" s="49" t="str">
        <f>IF(AND(OR(LEFT(TH!L271,2)="15",LEFT(TH!M271,2)="15"),'152-CT'!$J$8=TH!F271),"x","")</f>
        <v/>
      </c>
      <c r="Y271" s="49" t="str">
        <f>IF(AND(OR(LEFT(TH!L271,2)="15",LEFT(TH!M271,2)="15"),TK!$E$7=TH!F271),"x","")</f>
        <v/>
      </c>
      <c r="Z271" s="49" t="str">
        <f>IF(AND(B271&lt;=NKC!$N$8,B271&gt;=NKC!$M$8),"x","")</f>
        <v/>
      </c>
      <c r="AA271" s="723"/>
      <c r="AB271" s="497"/>
    </row>
    <row r="272" spans="1:28" s="199" customFormat="1" ht="15.75" hidden="1" customHeight="1">
      <c r="A272" s="724" t="str">
        <f>IF(B272&lt;&gt;"",IF(AND(B272&gt;=_TM1,B272&lt;=_TM2,OR(TH!L272="1111",TH!M272="1111")),TH!D272,""),"")</f>
        <v/>
      </c>
      <c r="B272" s="36">
        <f t="shared" si="18"/>
        <v>12</v>
      </c>
      <c r="C272" s="185">
        <f t="shared" si="16"/>
        <v>41274</v>
      </c>
      <c r="D272" s="185" t="s">
        <v>592</v>
      </c>
      <c r="E272" s="185">
        <v>41274</v>
      </c>
      <c r="F272" s="186" t="s">
        <v>452</v>
      </c>
      <c r="G272" s="732"/>
      <c r="H272" s="187" t="s">
        <v>627</v>
      </c>
      <c r="I272" s="247">
        <v>260</v>
      </c>
      <c r="J272" s="247">
        <v>19110</v>
      </c>
      <c r="K272" s="505">
        <f t="shared" ref="K272:K298" si="19">ROUND(I272*J272,0)</f>
        <v>4968600</v>
      </c>
      <c r="L272" s="506" t="s">
        <v>160</v>
      </c>
      <c r="M272" s="506" t="s">
        <v>375</v>
      </c>
      <c r="N272" s="49" t="str">
        <f>IF(AND('331-CT'!$E$7=TH!H272,OR(L272="331",M272="331")),"331",IF(AND(OR(L272="131",M272="131"),H272='131-CT'!$E$7),"131",""))</f>
        <v/>
      </c>
      <c r="O272" s="49" t="str">
        <f>IF(AND($B272&gt;='111'!$N$11,$B272&lt;='111'!$O$11,OR($L272=$O$7,$M272=$O$7)),"x","")</f>
        <v/>
      </c>
      <c r="P272" s="49" t="str">
        <f>IF(AND($L272=$O$7,$B272&lt;'111'!$N$11),"x","")</f>
        <v/>
      </c>
      <c r="Q272" s="49" t="str">
        <f>IF(AND($M272=$O$7,$B272&lt;'111'!$N$11),"x","")</f>
        <v/>
      </c>
      <c r="R272" s="49" t="str">
        <f>IF(ISERROR(FIND('112'!$M$9,G272,1)),"",IF((AND(FIND('112'!$M$9,G272,1)&gt;=1,$B272&gt;='112'!$N$8,$B272&lt;='112'!$O$8,OR($L272='112'!$I$6,$M272='112'!$I$6))),"x",""))</f>
        <v/>
      </c>
      <c r="S272" s="49" t="str">
        <f>IF(ISERROR(FIND('112'!$M$9,G272,1)),"",IF((AND(LEFT(G272,2)=LEFT('112'!$M$9,2),B272&lt;'112'!$N$8,$L272='112'!$I$6)),"x",""))</f>
        <v/>
      </c>
      <c r="T272" s="49" t="str">
        <f>IF(ISERROR(FIND('112'!$M$9,G272,1)),"",IF((AND(RIGHT(G272,2)=RIGHT('112'!$M$9,2),B272&lt;'112'!$N$8,$M272='112'!$I$6)),"x",""))</f>
        <v/>
      </c>
      <c r="U272" s="49" t="str">
        <f>IF(AND(L272="154",'154'!$O$5&lt;=B272,'154'!$P$5&gt;=B272),"154",IF(AND(L272="632",'632'!$L$5&lt;=B272,'632'!$M$5&gt;=B272),"632",IF(AND(L272="642",'642'!$N$5&lt;=B272,'642'!$O$5&gt;=B272),"642",IF(AND(L272="641",'641'!$N$5&lt;=B272,'641'!$O$5&gt;=B272),"641",""))))</f>
        <v/>
      </c>
      <c r="V272" s="49" t="str">
        <f>IF(OR(TH!L272=TH!$V$7,M272=TH!$V$7),"x","")</f>
        <v/>
      </c>
      <c r="W272" s="49" t="str">
        <f>IF(AND(B272&gt;='IN-NX'!$P$3,B272&lt;='IN-NX'!$Q$3,'IN-NX'!$D$7=D272,OR(LEFT(L272,2)="15",AND(LEFT(M272,2)&lt;&gt;"15",LEFT(M272,2)&lt;&gt;"33"))),"x","")</f>
        <v/>
      </c>
      <c r="X272" s="49" t="str">
        <f>IF(AND(OR(LEFT(TH!L272,2)="15",LEFT(TH!M272,2)="15"),'152-CT'!$J$8=TH!F272),"x","")</f>
        <v/>
      </c>
      <c r="Y272" s="49" t="str">
        <f>IF(AND(OR(LEFT(TH!L272,2)="15",LEFT(TH!M272,2)="15"),TK!$E$7=TH!F272),"x","")</f>
        <v/>
      </c>
      <c r="Z272" s="49" t="str">
        <f>IF(AND(B272&lt;=NKC!$N$8,B272&gt;=NKC!$M$8),"x","")</f>
        <v/>
      </c>
      <c r="AA272" s="723"/>
      <c r="AB272" s="497"/>
    </row>
    <row r="273" spans="1:28" s="199" customFormat="1" ht="15.75" hidden="1" customHeight="1">
      <c r="A273" s="724" t="str">
        <f>IF(B273&lt;&gt;"",IF(AND(B273&gt;=_TM1,B273&lt;=_TM2,OR(TH!L273="1111",TH!M273="1111")),TH!D273,""),"")</f>
        <v/>
      </c>
      <c r="B273" s="36">
        <f t="shared" si="18"/>
        <v>12</v>
      </c>
      <c r="C273" s="185">
        <f t="shared" si="16"/>
        <v>41274</v>
      </c>
      <c r="D273" s="185" t="s">
        <v>592</v>
      </c>
      <c r="E273" s="185">
        <v>41274</v>
      </c>
      <c r="F273" s="186" t="s">
        <v>395</v>
      </c>
      <c r="G273" s="732"/>
      <c r="H273" s="187" t="s">
        <v>627</v>
      </c>
      <c r="I273" s="247">
        <v>500</v>
      </c>
      <c r="J273" s="247">
        <v>10286</v>
      </c>
      <c r="K273" s="505">
        <f t="shared" si="19"/>
        <v>5143000</v>
      </c>
      <c r="L273" s="506" t="s">
        <v>160</v>
      </c>
      <c r="M273" s="506" t="s">
        <v>375</v>
      </c>
      <c r="N273" s="49" t="str">
        <f>IF(AND('331-CT'!$E$7=TH!H273,OR(L273="331",M273="331")),"331",IF(AND(OR(L273="131",M273="131"),H273='131-CT'!$E$7),"131",""))</f>
        <v/>
      </c>
      <c r="O273" s="49" t="str">
        <f>IF(AND($B273&gt;='111'!$N$11,$B273&lt;='111'!$O$11,OR($L273=$O$7,$M273=$O$7)),"x","")</f>
        <v/>
      </c>
      <c r="P273" s="49" t="str">
        <f>IF(AND($L273=$O$7,$B273&lt;'111'!$N$11),"x","")</f>
        <v/>
      </c>
      <c r="Q273" s="49" t="str">
        <f>IF(AND($M273=$O$7,$B273&lt;'111'!$N$11),"x","")</f>
        <v/>
      </c>
      <c r="R273" s="49" t="str">
        <f>IF(ISERROR(FIND('112'!$M$9,G273,1)),"",IF((AND(FIND('112'!$M$9,G273,1)&gt;=1,$B273&gt;='112'!$N$8,$B273&lt;='112'!$O$8,OR($L273='112'!$I$6,$M273='112'!$I$6))),"x",""))</f>
        <v/>
      </c>
      <c r="S273" s="49" t="str">
        <f>IF(ISERROR(FIND('112'!$M$9,G273,1)),"",IF((AND(LEFT(G273,2)=LEFT('112'!$M$9,2),B273&lt;'112'!$N$8,$L273='112'!$I$6)),"x",""))</f>
        <v/>
      </c>
      <c r="T273" s="49" t="str">
        <f>IF(ISERROR(FIND('112'!$M$9,G273,1)),"",IF((AND(RIGHT(G273,2)=RIGHT('112'!$M$9,2),B273&lt;'112'!$N$8,$M273='112'!$I$6)),"x",""))</f>
        <v/>
      </c>
      <c r="U273" s="49" t="str">
        <f>IF(AND(L273="154",'154'!$O$5&lt;=B273,'154'!$P$5&gt;=B273),"154",IF(AND(L273="632",'632'!$L$5&lt;=B273,'632'!$M$5&gt;=B273),"632",IF(AND(L273="642",'642'!$N$5&lt;=B273,'642'!$O$5&gt;=B273),"642",IF(AND(L273="641",'641'!$N$5&lt;=B273,'641'!$O$5&gt;=B273),"641",""))))</f>
        <v/>
      </c>
      <c r="V273" s="49" t="str">
        <f>IF(OR(TH!L273=TH!$V$7,M273=TH!$V$7),"x","")</f>
        <v/>
      </c>
      <c r="W273" s="49" t="str">
        <f>IF(AND(B273&gt;='IN-NX'!$P$3,B273&lt;='IN-NX'!$Q$3,'IN-NX'!$D$7=D273,OR(LEFT(L273,2)="15",AND(LEFT(M273,2)&lt;&gt;"15",LEFT(M273,2)&lt;&gt;"33"))),"x","")</f>
        <v/>
      </c>
      <c r="X273" s="49" t="str">
        <f>IF(AND(OR(LEFT(TH!L273,2)="15",LEFT(TH!M273,2)="15"),'152-CT'!$J$8=TH!F273),"x","")</f>
        <v/>
      </c>
      <c r="Y273" s="49" t="str">
        <f>IF(AND(OR(LEFT(TH!L273,2)="15",LEFT(TH!M273,2)="15"),TK!$E$7=TH!F273),"x","")</f>
        <v/>
      </c>
      <c r="Z273" s="49" t="str">
        <f>IF(AND(B273&lt;=NKC!$N$8,B273&gt;=NKC!$M$8),"x","")</f>
        <v/>
      </c>
      <c r="AA273" s="723"/>
      <c r="AB273" s="497"/>
    </row>
    <row r="274" spans="1:28" s="199" customFormat="1" ht="15.75" hidden="1" customHeight="1">
      <c r="A274" s="724" t="str">
        <f>IF(B274&lt;&gt;"",IF(AND(B274&gt;=_TM1,B274&lt;=_TM2,OR(TH!L274="1111",TH!M274="1111")),TH!D274,""),"")</f>
        <v/>
      </c>
      <c r="B274" s="36">
        <f t="shared" si="18"/>
        <v>12</v>
      </c>
      <c r="C274" s="185">
        <f t="shared" si="16"/>
        <v>41274</v>
      </c>
      <c r="D274" s="185" t="s">
        <v>499</v>
      </c>
      <c r="E274" s="185">
        <v>41274</v>
      </c>
      <c r="F274" s="186" t="s">
        <v>537</v>
      </c>
      <c r="G274" s="732"/>
      <c r="H274" s="187" t="s">
        <v>628</v>
      </c>
      <c r="I274" s="247">
        <v>22750</v>
      </c>
      <c r="J274" s="247">
        <v>587.46068964351389</v>
      </c>
      <c r="K274" s="505">
        <f t="shared" si="19"/>
        <v>13364731</v>
      </c>
      <c r="L274" s="506" t="s">
        <v>375</v>
      </c>
      <c r="M274" s="506" t="s">
        <v>160</v>
      </c>
      <c r="N274" s="49" t="str">
        <f>IF(AND('331-CT'!$E$7=TH!H274,OR(L274="331",M274="331")),"331",IF(AND(OR(L274="131",M274="131"),H274='131-CT'!$E$7),"131",""))</f>
        <v/>
      </c>
      <c r="O274" s="49" t="str">
        <f>IF(AND($B274&gt;='111'!$N$11,$B274&lt;='111'!$O$11,OR($L274=$O$7,$M274=$O$7)),"x","")</f>
        <v/>
      </c>
      <c r="P274" s="49" t="str">
        <f>IF(AND($L274=$O$7,$B274&lt;'111'!$N$11),"x","")</f>
        <v/>
      </c>
      <c r="Q274" s="49" t="str">
        <f>IF(AND($M274=$O$7,$B274&lt;'111'!$N$11),"x","")</f>
        <v/>
      </c>
      <c r="R274" s="49" t="str">
        <f>IF(ISERROR(FIND('112'!$M$9,G274,1)),"",IF((AND(FIND('112'!$M$9,G274,1)&gt;=1,$B274&gt;='112'!$N$8,$B274&lt;='112'!$O$8,OR($L274='112'!$I$6,$M274='112'!$I$6))),"x",""))</f>
        <v/>
      </c>
      <c r="S274" s="49" t="str">
        <f>IF(ISERROR(FIND('112'!$M$9,G274,1)),"",IF((AND(LEFT(G274,2)=LEFT('112'!$M$9,2),B274&lt;'112'!$N$8,$L274='112'!$I$6)),"x",""))</f>
        <v/>
      </c>
      <c r="T274" s="49" t="str">
        <f>IF(ISERROR(FIND('112'!$M$9,G274,1)),"",IF((AND(RIGHT(G274,2)=RIGHT('112'!$M$9,2),B274&lt;'112'!$N$8,$M274='112'!$I$6)),"x",""))</f>
        <v/>
      </c>
      <c r="U274" s="49" t="str">
        <f>IF(AND(L274="154",'154'!$O$5&lt;=B274,'154'!$P$5&gt;=B274),"154",IF(AND(L274="632",'632'!$L$5&lt;=B274,'632'!$M$5&gt;=B274),"632",IF(AND(L274="642",'642'!$N$5&lt;=B274,'642'!$O$5&gt;=B274),"642",IF(AND(L274="641",'641'!$N$5&lt;=B274,'641'!$O$5&gt;=B274),"641",""))))</f>
        <v/>
      </c>
      <c r="V274" s="49" t="str">
        <f>IF(OR(TH!L274=TH!$V$7,M274=TH!$V$7),"x","")</f>
        <v/>
      </c>
      <c r="W274" s="49" t="str">
        <f>IF(AND(B274&gt;='IN-NX'!$P$3,B274&lt;='IN-NX'!$Q$3,'IN-NX'!$D$7=D274,OR(LEFT(L274,2)="15",AND(LEFT(M274,2)&lt;&gt;"15",LEFT(M274,2)&lt;&gt;"33"))),"x","")</f>
        <v/>
      </c>
      <c r="X274" s="49" t="str">
        <f>IF(AND(OR(LEFT(TH!L274,2)="15",LEFT(TH!M274,2)="15"),'152-CT'!$J$8=TH!F274),"x","")</f>
        <v/>
      </c>
      <c r="Y274" s="49" t="str">
        <f>IF(AND(OR(LEFT(TH!L274,2)="15",LEFT(TH!M274,2)="15"),TK!$E$7=TH!F274),"x","")</f>
        <v/>
      </c>
      <c r="Z274" s="49" t="str">
        <f>IF(AND(B274&lt;=NKC!$N$8,B274&gt;=NKC!$M$8),"x","")</f>
        <v/>
      </c>
      <c r="AA274" s="723"/>
      <c r="AB274" s="497"/>
    </row>
    <row r="275" spans="1:28" s="199" customFormat="1" ht="15.75" hidden="1" customHeight="1">
      <c r="A275" s="724" t="str">
        <f>IF(B275&lt;&gt;"",IF(AND(B275&gt;=_TM1,B275&lt;=_TM2,OR(TH!L275="1111",TH!M275="1111")),TH!D275,""),"")</f>
        <v/>
      </c>
      <c r="B275" s="36">
        <f t="shared" si="18"/>
        <v>12</v>
      </c>
      <c r="C275" s="185">
        <f t="shared" si="16"/>
        <v>41274</v>
      </c>
      <c r="D275" s="185" t="s">
        <v>499</v>
      </c>
      <c r="E275" s="185">
        <v>41274</v>
      </c>
      <c r="F275" s="186" t="s">
        <v>586</v>
      </c>
      <c r="G275" s="732"/>
      <c r="H275" s="187" t="s">
        <v>628</v>
      </c>
      <c r="I275" s="247">
        <v>60</v>
      </c>
      <c r="J275" s="247">
        <v>19286.278184149007</v>
      </c>
      <c r="K275" s="505">
        <f t="shared" si="19"/>
        <v>1157177</v>
      </c>
      <c r="L275" s="506" t="s">
        <v>375</v>
      </c>
      <c r="M275" s="506" t="s">
        <v>160</v>
      </c>
      <c r="N275" s="49" t="str">
        <f>IF(AND('331-CT'!$E$7=TH!H275,OR(L275="331",M275="331")),"331",IF(AND(OR(L275="131",M275="131"),H275='131-CT'!$E$7),"131",""))</f>
        <v/>
      </c>
      <c r="O275" s="49" t="str">
        <f>IF(AND($B275&gt;='111'!$N$11,$B275&lt;='111'!$O$11,OR($L275=$O$7,$M275=$O$7)),"x","")</f>
        <v/>
      </c>
      <c r="P275" s="49" t="str">
        <f>IF(AND($L275=$O$7,$B275&lt;'111'!$N$11),"x","")</f>
        <v/>
      </c>
      <c r="Q275" s="49" t="str">
        <f>IF(AND($M275=$O$7,$B275&lt;'111'!$N$11),"x","")</f>
        <v/>
      </c>
      <c r="R275" s="49" t="str">
        <f>IF(ISERROR(FIND('112'!$M$9,G275,1)),"",IF((AND(FIND('112'!$M$9,G275,1)&gt;=1,$B275&gt;='112'!$N$8,$B275&lt;='112'!$O$8,OR($L275='112'!$I$6,$M275='112'!$I$6))),"x",""))</f>
        <v/>
      </c>
      <c r="S275" s="49" t="str">
        <f>IF(ISERROR(FIND('112'!$M$9,G275,1)),"",IF((AND(LEFT(G275,2)=LEFT('112'!$M$9,2),B275&lt;'112'!$N$8,$L275='112'!$I$6)),"x",""))</f>
        <v/>
      </c>
      <c r="T275" s="49" t="str">
        <f>IF(ISERROR(FIND('112'!$M$9,G275,1)),"",IF((AND(RIGHT(G275,2)=RIGHT('112'!$M$9,2),B275&lt;'112'!$N$8,$M275='112'!$I$6)),"x",""))</f>
        <v/>
      </c>
      <c r="U275" s="49" t="str">
        <f>IF(AND(L275="154",'154'!$O$5&lt;=B275,'154'!$P$5&gt;=B275),"154",IF(AND(L275="632",'632'!$L$5&lt;=B275,'632'!$M$5&gt;=B275),"632",IF(AND(L275="642",'642'!$N$5&lt;=B275,'642'!$O$5&gt;=B275),"642",IF(AND(L275="641",'641'!$N$5&lt;=B275,'641'!$O$5&gt;=B275),"641",""))))</f>
        <v/>
      </c>
      <c r="V275" s="49" t="str">
        <f>IF(OR(TH!L275=TH!$V$7,M275=TH!$V$7),"x","")</f>
        <v/>
      </c>
      <c r="W275" s="49" t="str">
        <f>IF(AND(B275&gt;='IN-NX'!$P$3,B275&lt;='IN-NX'!$Q$3,'IN-NX'!$D$7=D275,OR(LEFT(L275,2)="15",AND(LEFT(M275,2)&lt;&gt;"15",LEFT(M275,2)&lt;&gt;"33"))),"x","")</f>
        <v/>
      </c>
      <c r="X275" s="49" t="str">
        <f>IF(AND(OR(LEFT(TH!L275,2)="15",LEFT(TH!M275,2)="15"),'152-CT'!$J$8=TH!F275),"x","")</f>
        <v>x</v>
      </c>
      <c r="Y275" s="49" t="str">
        <f>IF(AND(OR(LEFT(TH!L275,2)="15",LEFT(TH!M275,2)="15"),TK!$E$7=TH!F275),"x","")</f>
        <v/>
      </c>
      <c r="Z275" s="49" t="str">
        <f>IF(AND(B275&lt;=NKC!$N$8,B275&gt;=NKC!$M$8),"x","")</f>
        <v/>
      </c>
      <c r="AA275" s="723"/>
      <c r="AB275" s="497"/>
    </row>
    <row r="276" spans="1:28" s="199" customFormat="1" ht="15.75" hidden="1" customHeight="1">
      <c r="A276" s="724" t="str">
        <f>IF(B276&lt;&gt;"",IF(AND(B276&gt;=_TM1,B276&lt;=_TM2,OR(TH!L276="1111",TH!M276="1111")),TH!D276,""),"")</f>
        <v/>
      </c>
      <c r="B276" s="36">
        <f t="shared" si="18"/>
        <v>12</v>
      </c>
      <c r="C276" s="185">
        <f t="shared" si="16"/>
        <v>41274</v>
      </c>
      <c r="D276" s="185" t="s">
        <v>499</v>
      </c>
      <c r="E276" s="185">
        <v>41274</v>
      </c>
      <c r="F276" s="186" t="s">
        <v>545</v>
      </c>
      <c r="G276" s="732"/>
      <c r="H276" s="187" t="s">
        <v>628</v>
      </c>
      <c r="I276" s="247">
        <v>3303</v>
      </c>
      <c r="J276" s="247">
        <v>4426.2781841490087</v>
      </c>
      <c r="K276" s="505">
        <f t="shared" si="19"/>
        <v>14619997</v>
      </c>
      <c r="L276" s="506" t="s">
        <v>375</v>
      </c>
      <c r="M276" s="506" t="s">
        <v>160</v>
      </c>
      <c r="N276" s="49" t="str">
        <f>IF(AND('331-CT'!$E$7=TH!H276,OR(L276="331",M276="331")),"331",IF(AND(OR(L276="131",M276="131"),H276='131-CT'!$E$7),"131",""))</f>
        <v/>
      </c>
      <c r="O276" s="49" t="str">
        <f>IF(AND($B276&gt;='111'!$N$11,$B276&lt;='111'!$O$11,OR($L276=$O$7,$M276=$O$7)),"x","")</f>
        <v/>
      </c>
      <c r="P276" s="49" t="str">
        <f>IF(AND($L276=$O$7,$B276&lt;'111'!$N$11),"x","")</f>
        <v/>
      </c>
      <c r="Q276" s="49" t="str">
        <f>IF(AND($M276=$O$7,$B276&lt;'111'!$N$11),"x","")</f>
        <v/>
      </c>
      <c r="R276" s="49" t="str">
        <f>IF(ISERROR(FIND('112'!$M$9,G276,1)),"",IF((AND(FIND('112'!$M$9,G276,1)&gt;=1,$B276&gt;='112'!$N$8,$B276&lt;='112'!$O$8,OR($L276='112'!$I$6,$M276='112'!$I$6))),"x",""))</f>
        <v/>
      </c>
      <c r="S276" s="49" t="str">
        <f>IF(ISERROR(FIND('112'!$M$9,G276,1)),"",IF((AND(LEFT(G276,2)=LEFT('112'!$M$9,2),B276&lt;'112'!$N$8,$L276='112'!$I$6)),"x",""))</f>
        <v/>
      </c>
      <c r="T276" s="49" t="str">
        <f>IF(ISERROR(FIND('112'!$M$9,G276,1)),"",IF((AND(RIGHT(G276,2)=RIGHT('112'!$M$9,2),B276&lt;'112'!$N$8,$M276='112'!$I$6)),"x",""))</f>
        <v/>
      </c>
      <c r="U276" s="49" t="str">
        <f>IF(AND(L276="154",'154'!$O$5&lt;=B276,'154'!$P$5&gt;=B276),"154",IF(AND(L276="632",'632'!$L$5&lt;=B276,'632'!$M$5&gt;=B276),"632",IF(AND(L276="642",'642'!$N$5&lt;=B276,'642'!$O$5&gt;=B276),"642",IF(AND(L276="641",'641'!$N$5&lt;=B276,'641'!$O$5&gt;=B276),"641",""))))</f>
        <v/>
      </c>
      <c r="V276" s="49" t="str">
        <f>IF(OR(TH!L276=TH!$V$7,M276=TH!$V$7),"x","")</f>
        <v/>
      </c>
      <c r="W276" s="49" t="str">
        <f>IF(AND(B276&gt;='IN-NX'!$P$3,B276&lt;='IN-NX'!$Q$3,'IN-NX'!$D$7=D276,OR(LEFT(L276,2)="15",AND(LEFT(M276,2)&lt;&gt;"15",LEFT(M276,2)&lt;&gt;"33"))),"x","")</f>
        <v/>
      </c>
      <c r="X276" s="49" t="str">
        <f>IF(AND(OR(LEFT(TH!L276,2)="15",LEFT(TH!M276,2)="15"),'152-CT'!$J$8=TH!F276),"x","")</f>
        <v/>
      </c>
      <c r="Y276" s="49" t="str">
        <f>IF(AND(OR(LEFT(TH!L276,2)="15",LEFT(TH!M276,2)="15"),TK!$E$7=TH!F276),"x","")</f>
        <v/>
      </c>
      <c r="Z276" s="49" t="str">
        <f>IF(AND(B276&lt;=NKC!$N$8,B276&gt;=NKC!$M$8),"x","")</f>
        <v/>
      </c>
      <c r="AA276" s="723"/>
      <c r="AB276" s="497"/>
    </row>
    <row r="277" spans="1:28" s="199" customFormat="1" ht="15.75" hidden="1" customHeight="1">
      <c r="A277" s="724" t="str">
        <f>IF(B277&lt;&gt;"",IF(AND(B277&gt;=_TM1,B277&lt;=_TM2,OR(TH!L277="1111",TH!M277="1111")),TH!D277,""),"")</f>
        <v/>
      </c>
      <c r="B277" s="36">
        <f t="shared" si="18"/>
        <v>12</v>
      </c>
      <c r="C277" s="185">
        <f t="shared" si="16"/>
        <v>41274</v>
      </c>
      <c r="D277" s="185" t="s">
        <v>499</v>
      </c>
      <c r="E277" s="185">
        <v>41274</v>
      </c>
      <c r="F277" s="186" t="s">
        <v>569</v>
      </c>
      <c r="G277" s="732"/>
      <c r="H277" s="187" t="s">
        <v>628</v>
      </c>
      <c r="I277" s="247">
        <v>800</v>
      </c>
      <c r="J277" s="247">
        <v>5942.2781841490096</v>
      </c>
      <c r="K277" s="505">
        <f t="shared" si="19"/>
        <v>4753823</v>
      </c>
      <c r="L277" s="506" t="s">
        <v>375</v>
      </c>
      <c r="M277" s="506" t="s">
        <v>160</v>
      </c>
      <c r="N277" s="49" t="str">
        <f>IF(AND('331-CT'!$E$7=TH!H277,OR(L277="331",M277="331")),"331",IF(AND(OR(L277="131",M277="131"),H277='131-CT'!$E$7),"131",""))</f>
        <v/>
      </c>
      <c r="O277" s="49" t="str">
        <f>IF(AND($B277&gt;='111'!$N$11,$B277&lt;='111'!$O$11,OR($L277=$O$7,$M277=$O$7)),"x","")</f>
        <v/>
      </c>
      <c r="P277" s="49" t="str">
        <f>IF(AND($L277=$O$7,$B277&lt;'111'!$N$11),"x","")</f>
        <v/>
      </c>
      <c r="Q277" s="49" t="str">
        <f>IF(AND($M277=$O$7,$B277&lt;'111'!$N$11),"x","")</f>
        <v/>
      </c>
      <c r="R277" s="49" t="str">
        <f>IF(ISERROR(FIND('112'!$M$9,G277,1)),"",IF((AND(FIND('112'!$M$9,G277,1)&gt;=1,$B277&gt;='112'!$N$8,$B277&lt;='112'!$O$8,OR($L277='112'!$I$6,$M277='112'!$I$6))),"x",""))</f>
        <v/>
      </c>
      <c r="S277" s="49" t="str">
        <f>IF(ISERROR(FIND('112'!$M$9,G277,1)),"",IF((AND(LEFT(G277,2)=LEFT('112'!$M$9,2),B277&lt;'112'!$N$8,$L277='112'!$I$6)),"x",""))</f>
        <v/>
      </c>
      <c r="T277" s="49" t="str">
        <f>IF(ISERROR(FIND('112'!$M$9,G277,1)),"",IF((AND(RIGHT(G277,2)=RIGHT('112'!$M$9,2),B277&lt;'112'!$N$8,$M277='112'!$I$6)),"x",""))</f>
        <v/>
      </c>
      <c r="U277" s="49" t="str">
        <f>IF(AND(L277="154",'154'!$O$5&lt;=B277,'154'!$P$5&gt;=B277),"154",IF(AND(L277="632",'632'!$L$5&lt;=B277,'632'!$M$5&gt;=B277),"632",IF(AND(L277="642",'642'!$N$5&lt;=B277,'642'!$O$5&gt;=B277),"642",IF(AND(L277="641",'641'!$N$5&lt;=B277,'641'!$O$5&gt;=B277),"641",""))))</f>
        <v/>
      </c>
      <c r="V277" s="49" t="str">
        <f>IF(OR(TH!L277=TH!$V$7,M277=TH!$V$7),"x","")</f>
        <v/>
      </c>
      <c r="W277" s="49" t="str">
        <f>IF(AND(B277&gt;='IN-NX'!$P$3,B277&lt;='IN-NX'!$Q$3,'IN-NX'!$D$7=D277,OR(LEFT(L277,2)="15",AND(LEFT(M277,2)&lt;&gt;"15",LEFT(M277,2)&lt;&gt;"33"))),"x","")</f>
        <v/>
      </c>
      <c r="X277" s="49" t="str">
        <f>IF(AND(OR(LEFT(TH!L277,2)="15",LEFT(TH!M277,2)="15"),'152-CT'!$J$8=TH!F277),"x","")</f>
        <v/>
      </c>
      <c r="Y277" s="49" t="str">
        <f>IF(AND(OR(LEFT(TH!L277,2)="15",LEFT(TH!M277,2)="15"),TK!$E$7=TH!F277),"x","")</f>
        <v/>
      </c>
      <c r="Z277" s="49" t="str">
        <f>IF(AND(B277&lt;=NKC!$N$8,B277&gt;=NKC!$M$8),"x","")</f>
        <v/>
      </c>
      <c r="AA277" s="723"/>
      <c r="AB277" s="497"/>
    </row>
    <row r="278" spans="1:28" s="199" customFormat="1" ht="15.75" hidden="1" customHeight="1">
      <c r="A278" s="724" t="str">
        <f>IF(B278&lt;&gt;"",IF(AND(B278&gt;=_TM1,B278&lt;=_TM2,OR(TH!L278="1111",TH!M278="1111")),TH!D278,""),"")</f>
        <v/>
      </c>
      <c r="B278" s="36">
        <f t="shared" si="18"/>
        <v>12</v>
      </c>
      <c r="C278" s="185">
        <f t="shared" si="16"/>
        <v>41274</v>
      </c>
      <c r="D278" s="185" t="s">
        <v>499</v>
      </c>
      <c r="E278" s="185">
        <v>41274</v>
      </c>
      <c r="F278" s="186" t="s">
        <v>581</v>
      </c>
      <c r="G278" s="732"/>
      <c r="H278" s="187" t="s">
        <v>628</v>
      </c>
      <c r="I278" s="247">
        <v>100</v>
      </c>
      <c r="J278" s="247">
        <v>13196.278184149007</v>
      </c>
      <c r="K278" s="505">
        <f t="shared" si="19"/>
        <v>1319628</v>
      </c>
      <c r="L278" s="506" t="s">
        <v>375</v>
      </c>
      <c r="M278" s="506" t="s">
        <v>160</v>
      </c>
      <c r="N278" s="49" t="str">
        <f>IF(AND('331-CT'!$E$7=TH!H278,OR(L278="331",M278="331")),"331",IF(AND(OR(L278="131",M278="131"),H278='131-CT'!$E$7),"131",""))</f>
        <v/>
      </c>
      <c r="O278" s="49" t="str">
        <f>IF(AND($B278&gt;='111'!$N$11,$B278&lt;='111'!$O$11,OR($L278=$O$7,$M278=$O$7)),"x","")</f>
        <v/>
      </c>
      <c r="P278" s="49" t="str">
        <f>IF(AND($L278=$O$7,$B278&lt;'111'!$N$11),"x","")</f>
        <v/>
      </c>
      <c r="Q278" s="49" t="str">
        <f>IF(AND($M278=$O$7,$B278&lt;'111'!$N$11),"x","")</f>
        <v/>
      </c>
      <c r="R278" s="49" t="str">
        <f>IF(ISERROR(FIND('112'!$M$9,G278,1)),"",IF((AND(FIND('112'!$M$9,G278,1)&gt;=1,$B278&gt;='112'!$N$8,$B278&lt;='112'!$O$8,OR($L278='112'!$I$6,$M278='112'!$I$6))),"x",""))</f>
        <v/>
      </c>
      <c r="S278" s="49" t="str">
        <f>IF(ISERROR(FIND('112'!$M$9,G278,1)),"",IF((AND(LEFT(G278,2)=LEFT('112'!$M$9,2),B278&lt;'112'!$N$8,$L278='112'!$I$6)),"x",""))</f>
        <v/>
      </c>
      <c r="T278" s="49" t="str">
        <f>IF(ISERROR(FIND('112'!$M$9,G278,1)),"",IF((AND(RIGHT(G278,2)=RIGHT('112'!$M$9,2),B278&lt;'112'!$N$8,$M278='112'!$I$6)),"x",""))</f>
        <v/>
      </c>
      <c r="U278" s="49" t="str">
        <f>IF(AND(L278="154",'154'!$O$5&lt;=B278,'154'!$P$5&gt;=B278),"154",IF(AND(L278="632",'632'!$L$5&lt;=B278,'632'!$M$5&gt;=B278),"632",IF(AND(L278="642",'642'!$N$5&lt;=B278,'642'!$O$5&gt;=B278),"642",IF(AND(L278="641",'641'!$N$5&lt;=B278,'641'!$O$5&gt;=B278),"641",""))))</f>
        <v/>
      </c>
      <c r="V278" s="49" t="str">
        <f>IF(OR(TH!L278=TH!$V$7,M278=TH!$V$7),"x","")</f>
        <v/>
      </c>
      <c r="W278" s="49" t="str">
        <f>IF(AND(B278&gt;='IN-NX'!$P$3,B278&lt;='IN-NX'!$Q$3,'IN-NX'!$D$7=D278,OR(LEFT(L278,2)="15",AND(LEFT(M278,2)&lt;&gt;"15",LEFT(M278,2)&lt;&gt;"33"))),"x","")</f>
        <v/>
      </c>
      <c r="X278" s="49" t="str">
        <f>IF(AND(OR(LEFT(TH!L278,2)="15",LEFT(TH!M278,2)="15"),'152-CT'!$J$8=TH!F278),"x","")</f>
        <v/>
      </c>
      <c r="Y278" s="49" t="str">
        <f>IF(AND(OR(LEFT(TH!L278,2)="15",LEFT(TH!M278,2)="15"),TK!$E$7=TH!F278),"x","")</f>
        <v/>
      </c>
      <c r="Z278" s="49" t="str">
        <f>IF(AND(B278&lt;=NKC!$N$8,B278&gt;=NKC!$M$8),"x","")</f>
        <v/>
      </c>
      <c r="AA278" s="723"/>
      <c r="AB278" s="497"/>
    </row>
    <row r="279" spans="1:28" s="199" customFormat="1" ht="15.75" hidden="1" customHeight="1">
      <c r="A279" s="724" t="str">
        <f>IF(B279&lt;&gt;"",IF(AND(B279&gt;=_TM1,B279&lt;=_TM2,OR(TH!L279="1111",TH!M279="1111")),TH!D279,""),"")</f>
        <v/>
      </c>
      <c r="B279" s="36">
        <f t="shared" si="18"/>
        <v>12</v>
      </c>
      <c r="C279" s="185">
        <f t="shared" si="16"/>
        <v>41274</v>
      </c>
      <c r="D279" s="185" t="s">
        <v>499</v>
      </c>
      <c r="E279" s="185">
        <v>41274</v>
      </c>
      <c r="F279" s="186" t="s">
        <v>584</v>
      </c>
      <c r="G279" s="732"/>
      <c r="H279" s="187" t="s">
        <v>628</v>
      </c>
      <c r="I279" s="247">
        <v>40</v>
      </c>
      <c r="J279" s="247">
        <v>13196.27818414901</v>
      </c>
      <c r="K279" s="505">
        <f t="shared" si="19"/>
        <v>527851</v>
      </c>
      <c r="L279" s="506" t="s">
        <v>375</v>
      </c>
      <c r="M279" s="506" t="s">
        <v>160</v>
      </c>
      <c r="N279" s="49" t="str">
        <f>IF(AND('331-CT'!$E$7=TH!H279,OR(L279="331",M279="331")),"331",IF(AND(OR(L279="131",M279="131"),H279='131-CT'!$E$7),"131",""))</f>
        <v/>
      </c>
      <c r="O279" s="49" t="str">
        <f>IF(AND($B279&gt;='111'!$N$11,$B279&lt;='111'!$O$11,OR($L279=$O$7,$M279=$O$7)),"x","")</f>
        <v/>
      </c>
      <c r="P279" s="49" t="str">
        <f>IF(AND($L279=$O$7,$B279&lt;'111'!$N$11),"x","")</f>
        <v/>
      </c>
      <c r="Q279" s="49" t="str">
        <f>IF(AND($M279=$O$7,$B279&lt;'111'!$N$11),"x","")</f>
        <v/>
      </c>
      <c r="R279" s="49" t="str">
        <f>IF(ISERROR(FIND('112'!$M$9,G279,1)),"",IF((AND(FIND('112'!$M$9,G279,1)&gt;=1,$B279&gt;='112'!$N$8,$B279&lt;='112'!$O$8,OR($L279='112'!$I$6,$M279='112'!$I$6))),"x",""))</f>
        <v/>
      </c>
      <c r="S279" s="49" t="str">
        <f>IF(ISERROR(FIND('112'!$M$9,G279,1)),"",IF((AND(LEFT(G279,2)=LEFT('112'!$M$9,2),B279&lt;'112'!$N$8,$L279='112'!$I$6)),"x",""))</f>
        <v/>
      </c>
      <c r="T279" s="49" t="str">
        <f>IF(ISERROR(FIND('112'!$M$9,G279,1)),"",IF((AND(RIGHT(G279,2)=RIGHT('112'!$M$9,2),B279&lt;'112'!$N$8,$M279='112'!$I$6)),"x",""))</f>
        <v/>
      </c>
      <c r="U279" s="49" t="str">
        <f>IF(AND(L279="154",'154'!$O$5&lt;=B279,'154'!$P$5&gt;=B279),"154",IF(AND(L279="632",'632'!$L$5&lt;=B279,'632'!$M$5&gt;=B279),"632",IF(AND(L279="642",'642'!$N$5&lt;=B279,'642'!$O$5&gt;=B279),"642",IF(AND(L279="641",'641'!$N$5&lt;=B279,'641'!$O$5&gt;=B279),"641",""))))</f>
        <v/>
      </c>
      <c r="V279" s="49" t="str">
        <f>IF(OR(TH!L279=TH!$V$7,M279=TH!$V$7),"x","")</f>
        <v/>
      </c>
      <c r="W279" s="49" t="str">
        <f>IF(AND(B279&gt;='IN-NX'!$P$3,B279&lt;='IN-NX'!$Q$3,'IN-NX'!$D$7=D279,OR(LEFT(L279,2)="15",AND(LEFT(M279,2)&lt;&gt;"15",LEFT(M279,2)&lt;&gt;"33"))),"x","")</f>
        <v/>
      </c>
      <c r="X279" s="49" t="str">
        <f>IF(AND(OR(LEFT(TH!L279,2)="15",LEFT(TH!M279,2)="15"),'152-CT'!$J$8=TH!F279),"x","")</f>
        <v/>
      </c>
      <c r="Y279" s="49" t="str">
        <f>IF(AND(OR(LEFT(TH!L279,2)="15",LEFT(TH!M279,2)="15"),TK!$E$7=TH!F279),"x","")</f>
        <v/>
      </c>
      <c r="Z279" s="49" t="str">
        <f>IF(AND(B279&lt;=NKC!$N$8,B279&gt;=NKC!$M$8),"x","")</f>
        <v/>
      </c>
      <c r="AA279" s="723"/>
      <c r="AB279" s="497"/>
    </row>
    <row r="280" spans="1:28" s="199" customFormat="1" ht="15.75" hidden="1" customHeight="1">
      <c r="A280" s="724" t="str">
        <f>IF(B280&lt;&gt;"",IF(AND(B280&gt;=_TM1,B280&lt;=_TM2,OR(TH!L280="1111",TH!M280="1111")),TH!D280,""),"")</f>
        <v/>
      </c>
      <c r="B280" s="36">
        <f t="shared" si="18"/>
        <v>12</v>
      </c>
      <c r="C280" s="185">
        <f t="shared" si="16"/>
        <v>41274</v>
      </c>
      <c r="D280" s="185" t="s">
        <v>499</v>
      </c>
      <c r="E280" s="185">
        <v>41274</v>
      </c>
      <c r="F280" s="186" t="s">
        <v>582</v>
      </c>
      <c r="G280" s="732"/>
      <c r="H280" s="187" t="s">
        <v>628</v>
      </c>
      <c r="I280" s="247">
        <v>180</v>
      </c>
      <c r="J280" s="247">
        <v>13196.278184149009</v>
      </c>
      <c r="K280" s="505">
        <f t="shared" si="19"/>
        <v>2375330</v>
      </c>
      <c r="L280" s="506" t="s">
        <v>375</v>
      </c>
      <c r="M280" s="506" t="s">
        <v>160</v>
      </c>
      <c r="N280" s="49" t="str">
        <f>IF(AND('331-CT'!$E$7=TH!H280,OR(L280="331",M280="331")),"331",IF(AND(OR(L280="131",M280="131"),H280='131-CT'!$E$7),"131",""))</f>
        <v/>
      </c>
      <c r="O280" s="49" t="str">
        <f>IF(AND($B280&gt;='111'!$N$11,$B280&lt;='111'!$O$11,OR($L280=$O$7,$M280=$O$7)),"x","")</f>
        <v/>
      </c>
      <c r="P280" s="49" t="str">
        <f>IF(AND($L280=$O$7,$B280&lt;'111'!$N$11),"x","")</f>
        <v/>
      </c>
      <c r="Q280" s="49" t="str">
        <f>IF(AND($M280=$O$7,$B280&lt;'111'!$N$11),"x","")</f>
        <v/>
      </c>
      <c r="R280" s="49" t="str">
        <f>IF(ISERROR(FIND('112'!$M$9,G280,1)),"",IF((AND(FIND('112'!$M$9,G280,1)&gt;=1,$B280&gt;='112'!$N$8,$B280&lt;='112'!$O$8,OR($L280='112'!$I$6,$M280='112'!$I$6))),"x",""))</f>
        <v/>
      </c>
      <c r="S280" s="49" t="str">
        <f>IF(ISERROR(FIND('112'!$M$9,G280,1)),"",IF((AND(LEFT(G280,2)=LEFT('112'!$M$9,2),B280&lt;'112'!$N$8,$L280='112'!$I$6)),"x",""))</f>
        <v/>
      </c>
      <c r="T280" s="49" t="str">
        <f>IF(ISERROR(FIND('112'!$M$9,G280,1)),"",IF((AND(RIGHT(G280,2)=RIGHT('112'!$M$9,2),B280&lt;'112'!$N$8,$M280='112'!$I$6)),"x",""))</f>
        <v/>
      </c>
      <c r="U280" s="49" t="str">
        <f>IF(AND(L280="154",'154'!$O$5&lt;=B280,'154'!$P$5&gt;=B280),"154",IF(AND(L280="632",'632'!$L$5&lt;=B280,'632'!$M$5&gt;=B280),"632",IF(AND(L280="642",'642'!$N$5&lt;=B280,'642'!$O$5&gt;=B280),"642",IF(AND(L280="641",'641'!$N$5&lt;=B280,'641'!$O$5&gt;=B280),"641",""))))</f>
        <v/>
      </c>
      <c r="V280" s="49" t="str">
        <f>IF(OR(TH!L280=TH!$V$7,M280=TH!$V$7),"x","")</f>
        <v/>
      </c>
      <c r="W280" s="49" t="str">
        <f>IF(AND(B280&gt;='IN-NX'!$P$3,B280&lt;='IN-NX'!$Q$3,'IN-NX'!$D$7=D280,OR(LEFT(L280,2)="15",AND(LEFT(M280,2)&lt;&gt;"15",LEFT(M280,2)&lt;&gt;"33"))),"x","")</f>
        <v/>
      </c>
      <c r="X280" s="49" t="str">
        <f>IF(AND(OR(LEFT(TH!L280,2)="15",LEFT(TH!M280,2)="15"),'152-CT'!$J$8=TH!F280),"x","")</f>
        <v/>
      </c>
      <c r="Y280" s="49" t="str">
        <f>IF(AND(OR(LEFT(TH!L280,2)="15",LEFT(TH!M280,2)="15"),TK!$E$7=TH!F280),"x","")</f>
        <v/>
      </c>
      <c r="Z280" s="49" t="str">
        <f>IF(AND(B280&lt;=NKC!$N$8,B280&gt;=NKC!$M$8),"x","")</f>
        <v/>
      </c>
      <c r="AA280" s="723"/>
      <c r="AB280" s="497"/>
    </row>
    <row r="281" spans="1:28" s="199" customFormat="1" ht="15.75" hidden="1" customHeight="1">
      <c r="A281" s="724" t="str">
        <f>IF(B281&lt;&gt;"",IF(AND(B281&gt;=_TM1,B281&lt;=_TM2,OR(TH!L281="1111",TH!M281="1111")),TH!D281,""),"")</f>
        <v/>
      </c>
      <c r="B281" s="36">
        <f t="shared" si="18"/>
        <v>12</v>
      </c>
      <c r="C281" s="185">
        <f t="shared" si="16"/>
        <v>41274</v>
      </c>
      <c r="D281" s="185" t="s">
        <v>499</v>
      </c>
      <c r="E281" s="185">
        <v>41274</v>
      </c>
      <c r="F281" s="186" t="s">
        <v>579</v>
      </c>
      <c r="G281" s="732"/>
      <c r="H281" s="187" t="s">
        <v>628</v>
      </c>
      <c r="I281" s="247">
        <v>180</v>
      </c>
      <c r="J281" s="247">
        <v>13196.278184149009</v>
      </c>
      <c r="K281" s="505">
        <f t="shared" si="19"/>
        <v>2375330</v>
      </c>
      <c r="L281" s="506" t="s">
        <v>375</v>
      </c>
      <c r="M281" s="506" t="s">
        <v>160</v>
      </c>
      <c r="N281" s="49" t="str">
        <f>IF(AND('331-CT'!$E$7=TH!H281,OR(L281="331",M281="331")),"331",IF(AND(OR(L281="131",M281="131"),H281='131-CT'!$E$7),"131",""))</f>
        <v/>
      </c>
      <c r="O281" s="49" t="str">
        <f>IF(AND($B281&gt;='111'!$N$11,$B281&lt;='111'!$O$11,OR($L281=$O$7,$M281=$O$7)),"x","")</f>
        <v/>
      </c>
      <c r="P281" s="49" t="str">
        <f>IF(AND($L281=$O$7,$B281&lt;'111'!$N$11),"x","")</f>
        <v/>
      </c>
      <c r="Q281" s="49" t="str">
        <f>IF(AND($M281=$O$7,$B281&lt;'111'!$N$11),"x","")</f>
        <v/>
      </c>
      <c r="R281" s="49" t="str">
        <f>IF(ISERROR(FIND('112'!$M$9,G281,1)),"",IF((AND(FIND('112'!$M$9,G281,1)&gt;=1,$B281&gt;='112'!$N$8,$B281&lt;='112'!$O$8,OR($L281='112'!$I$6,$M281='112'!$I$6))),"x",""))</f>
        <v/>
      </c>
      <c r="S281" s="49" t="str">
        <f>IF(ISERROR(FIND('112'!$M$9,G281,1)),"",IF((AND(LEFT(G281,2)=LEFT('112'!$M$9,2),B281&lt;'112'!$N$8,$L281='112'!$I$6)),"x",""))</f>
        <v/>
      </c>
      <c r="T281" s="49" t="str">
        <f>IF(ISERROR(FIND('112'!$M$9,G281,1)),"",IF((AND(RIGHT(G281,2)=RIGHT('112'!$M$9,2),B281&lt;'112'!$N$8,$M281='112'!$I$6)),"x",""))</f>
        <v/>
      </c>
      <c r="U281" s="49" t="str">
        <f>IF(AND(L281="154",'154'!$O$5&lt;=B281,'154'!$P$5&gt;=B281),"154",IF(AND(L281="632",'632'!$L$5&lt;=B281,'632'!$M$5&gt;=B281),"632",IF(AND(L281="642",'642'!$N$5&lt;=B281,'642'!$O$5&gt;=B281),"642",IF(AND(L281="641",'641'!$N$5&lt;=B281,'641'!$O$5&gt;=B281),"641",""))))</f>
        <v/>
      </c>
      <c r="V281" s="49" t="str">
        <f>IF(OR(TH!L281=TH!$V$7,M281=TH!$V$7),"x","")</f>
        <v/>
      </c>
      <c r="W281" s="49" t="str">
        <f>IF(AND(B281&gt;='IN-NX'!$P$3,B281&lt;='IN-NX'!$Q$3,'IN-NX'!$D$7=D281,OR(LEFT(L281,2)="15",AND(LEFT(M281,2)&lt;&gt;"15",LEFT(M281,2)&lt;&gt;"33"))),"x","")</f>
        <v/>
      </c>
      <c r="X281" s="49" t="str">
        <f>IF(AND(OR(LEFT(TH!L281,2)="15",LEFT(TH!M281,2)="15"),'152-CT'!$J$8=TH!F281),"x","")</f>
        <v/>
      </c>
      <c r="Y281" s="49" t="str">
        <f>IF(AND(OR(LEFT(TH!L281,2)="15",LEFT(TH!M281,2)="15"),TK!$E$7=TH!F281),"x","")</f>
        <v/>
      </c>
      <c r="Z281" s="49" t="str">
        <f>IF(AND(B281&lt;=NKC!$N$8,B281&gt;=NKC!$M$8),"x","")</f>
        <v/>
      </c>
      <c r="AA281" s="723"/>
      <c r="AB281" s="497"/>
    </row>
    <row r="282" spans="1:28" s="199" customFormat="1" ht="15.75" hidden="1" customHeight="1">
      <c r="A282" s="724" t="str">
        <f>IF(B282&lt;&gt;"",IF(AND(B282&gt;=_TM1,B282&lt;=_TM2,OR(TH!L282="1111",TH!M282="1111")),TH!D282,""),"")</f>
        <v/>
      </c>
      <c r="B282" s="36">
        <f t="shared" si="18"/>
        <v>12</v>
      </c>
      <c r="C282" s="185">
        <f t="shared" si="16"/>
        <v>41274</v>
      </c>
      <c r="D282" s="185" t="s">
        <v>499</v>
      </c>
      <c r="E282" s="185">
        <v>41274</v>
      </c>
      <c r="F282" s="186" t="s">
        <v>543</v>
      </c>
      <c r="G282" s="732"/>
      <c r="H282" s="187" t="s">
        <v>628</v>
      </c>
      <c r="I282" s="247">
        <v>1010</v>
      </c>
      <c r="J282" s="247">
        <v>6238.2781841490087</v>
      </c>
      <c r="K282" s="505">
        <f t="shared" si="19"/>
        <v>6300661</v>
      </c>
      <c r="L282" s="506" t="s">
        <v>375</v>
      </c>
      <c r="M282" s="506" t="s">
        <v>160</v>
      </c>
      <c r="N282" s="49" t="str">
        <f>IF(AND('331-CT'!$E$7=TH!H282,OR(L282="331",M282="331")),"331",IF(AND(OR(L282="131",M282="131"),H282='131-CT'!$E$7),"131",""))</f>
        <v/>
      </c>
      <c r="O282" s="49" t="str">
        <f>IF(AND($B282&gt;='111'!$N$11,$B282&lt;='111'!$O$11,OR($L282=$O$7,$M282=$O$7)),"x","")</f>
        <v/>
      </c>
      <c r="P282" s="49" t="str">
        <f>IF(AND($L282=$O$7,$B282&lt;'111'!$N$11),"x","")</f>
        <v/>
      </c>
      <c r="Q282" s="49" t="str">
        <f>IF(AND($M282=$O$7,$B282&lt;'111'!$N$11),"x","")</f>
        <v/>
      </c>
      <c r="R282" s="49" t="str">
        <f>IF(ISERROR(FIND('112'!$M$9,G282,1)),"",IF((AND(FIND('112'!$M$9,G282,1)&gt;=1,$B282&gt;='112'!$N$8,$B282&lt;='112'!$O$8,OR($L282='112'!$I$6,$M282='112'!$I$6))),"x",""))</f>
        <v/>
      </c>
      <c r="S282" s="49" t="str">
        <f>IF(ISERROR(FIND('112'!$M$9,G282,1)),"",IF((AND(LEFT(G282,2)=LEFT('112'!$M$9,2),B282&lt;'112'!$N$8,$L282='112'!$I$6)),"x",""))</f>
        <v/>
      </c>
      <c r="T282" s="49" t="str">
        <f>IF(ISERROR(FIND('112'!$M$9,G282,1)),"",IF((AND(RIGHT(G282,2)=RIGHT('112'!$M$9,2),B282&lt;'112'!$N$8,$M282='112'!$I$6)),"x",""))</f>
        <v/>
      </c>
      <c r="U282" s="49" t="str">
        <f>IF(AND(L282="154",'154'!$O$5&lt;=B282,'154'!$P$5&gt;=B282),"154",IF(AND(L282="632",'632'!$L$5&lt;=B282,'632'!$M$5&gt;=B282),"632",IF(AND(L282="642",'642'!$N$5&lt;=B282,'642'!$O$5&gt;=B282),"642",IF(AND(L282="641",'641'!$N$5&lt;=B282,'641'!$O$5&gt;=B282),"641",""))))</f>
        <v/>
      </c>
      <c r="V282" s="49" t="str">
        <f>IF(OR(TH!L282=TH!$V$7,M282=TH!$V$7),"x","")</f>
        <v/>
      </c>
      <c r="W282" s="49" t="str">
        <f>IF(AND(B282&gt;='IN-NX'!$P$3,B282&lt;='IN-NX'!$Q$3,'IN-NX'!$D$7=D282,OR(LEFT(L282,2)="15",AND(LEFT(M282,2)&lt;&gt;"15",LEFT(M282,2)&lt;&gt;"33"))),"x","")</f>
        <v/>
      </c>
      <c r="X282" s="49" t="str">
        <f>IF(AND(OR(LEFT(TH!L282,2)="15",LEFT(TH!M282,2)="15"),'152-CT'!$J$8=TH!F282),"x","")</f>
        <v/>
      </c>
      <c r="Y282" s="49" t="str">
        <f>IF(AND(OR(LEFT(TH!L282,2)="15",LEFT(TH!M282,2)="15"),TK!$E$7=TH!F282),"x","")</f>
        <v/>
      </c>
      <c r="Z282" s="49" t="str">
        <f>IF(AND(B282&lt;=NKC!$N$8,B282&gt;=NKC!$M$8),"x","")</f>
        <v/>
      </c>
      <c r="AA282" s="723"/>
      <c r="AB282" s="497"/>
    </row>
    <row r="283" spans="1:28" s="199" customFormat="1" ht="15.75" hidden="1" customHeight="1">
      <c r="A283" s="724" t="str">
        <f>IF(B283&lt;&gt;"",IF(AND(B283&gt;=_TM1,B283&lt;=_TM2,OR(TH!L283="1111",TH!M283="1111")),TH!D283,""),"")</f>
        <v/>
      </c>
      <c r="B283" s="36">
        <f t="shared" si="18"/>
        <v>12</v>
      </c>
      <c r="C283" s="185">
        <f t="shared" si="16"/>
        <v>41274</v>
      </c>
      <c r="D283" s="185" t="s">
        <v>499</v>
      </c>
      <c r="E283" s="185">
        <v>41274</v>
      </c>
      <c r="F283" s="186" t="s">
        <v>541</v>
      </c>
      <c r="G283" s="732"/>
      <c r="H283" s="187" t="s">
        <v>628</v>
      </c>
      <c r="I283" s="247">
        <v>3104</v>
      </c>
      <c r="J283" s="247">
        <v>5517.4772820871531</v>
      </c>
      <c r="K283" s="505">
        <f t="shared" si="19"/>
        <v>17126249</v>
      </c>
      <c r="L283" s="506" t="s">
        <v>375</v>
      </c>
      <c r="M283" s="506" t="s">
        <v>160</v>
      </c>
      <c r="N283" s="49" t="str">
        <f>IF(AND('331-CT'!$E$7=TH!H283,OR(L283="331",M283="331")),"331",IF(AND(OR(L283="131",M283="131"),H283='131-CT'!$E$7),"131",""))</f>
        <v/>
      </c>
      <c r="O283" s="49" t="str">
        <f>IF(AND($B283&gt;='111'!$N$11,$B283&lt;='111'!$O$11,OR($L283=$O$7,$M283=$O$7)),"x","")</f>
        <v/>
      </c>
      <c r="P283" s="49" t="str">
        <f>IF(AND($L283=$O$7,$B283&lt;'111'!$N$11),"x","")</f>
        <v/>
      </c>
      <c r="Q283" s="49" t="str">
        <f>IF(AND($M283=$O$7,$B283&lt;'111'!$N$11),"x","")</f>
        <v/>
      </c>
      <c r="R283" s="49" t="str">
        <f>IF(ISERROR(FIND('112'!$M$9,G283,1)),"",IF((AND(FIND('112'!$M$9,G283,1)&gt;=1,$B283&gt;='112'!$N$8,$B283&lt;='112'!$O$8,OR($L283='112'!$I$6,$M283='112'!$I$6))),"x",""))</f>
        <v/>
      </c>
      <c r="S283" s="49" t="str">
        <f>IF(ISERROR(FIND('112'!$M$9,G283,1)),"",IF((AND(LEFT(G283,2)=LEFT('112'!$M$9,2),B283&lt;'112'!$N$8,$L283='112'!$I$6)),"x",""))</f>
        <v/>
      </c>
      <c r="T283" s="49" t="str">
        <f>IF(ISERROR(FIND('112'!$M$9,G283,1)),"",IF((AND(RIGHT(G283,2)=RIGHT('112'!$M$9,2),B283&lt;'112'!$N$8,$M283='112'!$I$6)),"x",""))</f>
        <v/>
      </c>
      <c r="U283" s="49" t="str">
        <f>IF(AND(L283="154",'154'!$O$5&lt;=B283,'154'!$P$5&gt;=B283),"154",IF(AND(L283="632",'632'!$L$5&lt;=B283,'632'!$M$5&gt;=B283),"632",IF(AND(L283="642",'642'!$N$5&lt;=B283,'642'!$O$5&gt;=B283),"642",IF(AND(L283="641",'641'!$N$5&lt;=B283,'641'!$O$5&gt;=B283),"641",""))))</f>
        <v/>
      </c>
      <c r="V283" s="49" t="str">
        <f>IF(OR(TH!L283=TH!$V$7,M283=TH!$V$7),"x","")</f>
        <v/>
      </c>
      <c r="W283" s="49" t="str">
        <f>IF(AND(B283&gt;='IN-NX'!$P$3,B283&lt;='IN-NX'!$Q$3,'IN-NX'!$D$7=D283,OR(LEFT(L283,2)="15",AND(LEFT(M283,2)&lt;&gt;"15",LEFT(M283,2)&lt;&gt;"33"))),"x","")</f>
        <v/>
      </c>
      <c r="X283" s="49" t="str">
        <f>IF(AND(OR(LEFT(TH!L283,2)="15",LEFT(TH!M283,2)="15"),'152-CT'!$J$8=TH!F283),"x","")</f>
        <v/>
      </c>
      <c r="Y283" s="49" t="str">
        <f>IF(AND(OR(LEFT(TH!L283,2)="15",LEFT(TH!M283,2)="15"),TK!$E$7=TH!F283),"x","")</f>
        <v/>
      </c>
      <c r="Z283" s="49" t="str">
        <f>IF(AND(B283&lt;=NKC!$N$8,B283&gt;=NKC!$M$8),"x","")</f>
        <v/>
      </c>
      <c r="AA283" s="723"/>
      <c r="AB283" s="497"/>
    </row>
    <row r="284" spans="1:28" s="199" customFormat="1" ht="15.75" hidden="1" customHeight="1">
      <c r="A284" s="724" t="str">
        <f>IF(B284&lt;&gt;"",IF(AND(B284&gt;=_TM1,B284&lt;=_TM2,OR(TH!L284="1111",TH!M284="1111")),TH!D284,""),"")</f>
        <v/>
      </c>
      <c r="B284" s="36">
        <f t="shared" si="15"/>
        <v>12</v>
      </c>
      <c r="C284" s="185">
        <f t="shared" si="16"/>
        <v>41274</v>
      </c>
      <c r="D284" s="185" t="s">
        <v>499</v>
      </c>
      <c r="E284" s="185">
        <v>41274</v>
      </c>
      <c r="F284" s="186" t="s">
        <v>549</v>
      </c>
      <c r="G284" s="732"/>
      <c r="H284" s="187" t="s">
        <v>628</v>
      </c>
      <c r="I284" s="247">
        <v>2820</v>
      </c>
      <c r="J284" s="247">
        <v>5640.0228650000727</v>
      </c>
      <c r="K284" s="505">
        <f t="shared" si="19"/>
        <v>15904864</v>
      </c>
      <c r="L284" s="506" t="s">
        <v>375</v>
      </c>
      <c r="M284" s="506" t="s">
        <v>160</v>
      </c>
      <c r="N284" s="49" t="str">
        <f>IF(AND('331-CT'!$E$7=TH!H284,OR(L284="331",M284="331")),"331",IF(AND(OR(L284="131",M284="131"),H284='131-CT'!$E$7),"131",""))</f>
        <v/>
      </c>
      <c r="O284" s="49" t="str">
        <f>IF(AND($B284&gt;='111'!$N$11,$B284&lt;='111'!$O$11,OR($L284=$O$7,$M284=$O$7)),"x","")</f>
        <v/>
      </c>
      <c r="P284" s="49" t="str">
        <f>IF(AND($L284=$O$7,$B284&lt;'111'!$N$11),"x","")</f>
        <v/>
      </c>
      <c r="Q284" s="49" t="str">
        <f>IF(AND($M284=$O$7,$B284&lt;'111'!$N$11),"x","")</f>
        <v/>
      </c>
      <c r="R284" s="49" t="str">
        <f>IF(ISERROR(FIND('112'!$M$9,G284,1)),"",IF((AND(FIND('112'!$M$9,G284,1)&gt;=1,$B284&gt;='112'!$N$8,$B284&lt;='112'!$O$8,OR($L284='112'!$I$6,$M284='112'!$I$6))),"x",""))</f>
        <v/>
      </c>
      <c r="S284" s="49" t="str">
        <f>IF(ISERROR(FIND('112'!$M$9,G284,1)),"",IF((AND(LEFT(G284,2)=LEFT('112'!$M$9,2),B284&lt;'112'!$N$8,$L284='112'!$I$6)),"x",""))</f>
        <v/>
      </c>
      <c r="T284" s="49" t="str">
        <f>IF(ISERROR(FIND('112'!$M$9,G284,1)),"",IF((AND(RIGHT(G284,2)=RIGHT('112'!$M$9,2),B284&lt;'112'!$N$8,$M284='112'!$I$6)),"x",""))</f>
        <v/>
      </c>
      <c r="U284" s="49" t="str">
        <f>IF(AND(L284="154",'154'!$O$5&lt;=B284,'154'!$P$5&gt;=B284),"154",IF(AND(L284="632",'632'!$L$5&lt;=B284,'632'!$M$5&gt;=B284),"632",IF(AND(L284="642",'642'!$N$5&lt;=B284,'642'!$O$5&gt;=B284),"642",IF(AND(L284="641",'641'!$N$5&lt;=B284,'641'!$O$5&gt;=B284),"641",""))))</f>
        <v/>
      </c>
      <c r="V284" s="49" t="str">
        <f>IF(OR(TH!L284=TH!$V$7,M284=TH!$V$7),"x","")</f>
        <v/>
      </c>
      <c r="W284" s="49" t="str">
        <f>IF(AND(B284&gt;='IN-NX'!$P$3,B284&lt;='IN-NX'!$Q$3,'IN-NX'!$D$7=D284,OR(LEFT(L284,2)="15",AND(LEFT(M284,2)&lt;&gt;"15",LEFT(M284,2)&lt;&gt;"33"))),"x","")</f>
        <v/>
      </c>
      <c r="X284" s="49" t="str">
        <f>IF(AND(OR(LEFT(TH!L284,2)="15",LEFT(TH!M284,2)="15"),'152-CT'!$J$8=TH!F284),"x","")</f>
        <v/>
      </c>
      <c r="Y284" s="49" t="str">
        <f>IF(AND(OR(LEFT(TH!L284,2)="15",LEFT(TH!M284,2)="15"),TK!$E$7=TH!F284),"x","")</f>
        <v/>
      </c>
      <c r="Z284" s="49" t="str">
        <f>IF(AND(B284&lt;=NKC!$N$8,B284&gt;=NKC!$M$8),"x","")</f>
        <v/>
      </c>
      <c r="AA284" s="723"/>
      <c r="AB284" s="497"/>
    </row>
    <row r="285" spans="1:28" s="199" customFormat="1" ht="15.75" hidden="1" customHeight="1">
      <c r="A285" s="724" t="str">
        <f>IF(B285&lt;&gt;"",IF(AND(B285&gt;=_TM1,B285&lt;=_TM2,OR(TH!L285="1111",TH!M285="1111")),TH!D285,""),"")</f>
        <v/>
      </c>
      <c r="B285" s="36">
        <f t="shared" si="15"/>
        <v>12</v>
      </c>
      <c r="C285" s="185">
        <f t="shared" si="16"/>
        <v>41274</v>
      </c>
      <c r="D285" s="185" t="s">
        <v>499</v>
      </c>
      <c r="E285" s="185">
        <v>41274</v>
      </c>
      <c r="F285" s="186" t="s">
        <v>547</v>
      </c>
      <c r="G285" s="732"/>
      <c r="H285" s="187" t="s">
        <v>628</v>
      </c>
      <c r="I285" s="247">
        <v>4665</v>
      </c>
      <c r="J285" s="247">
        <v>5359.5047650707666</v>
      </c>
      <c r="K285" s="505">
        <f t="shared" si="19"/>
        <v>25002090</v>
      </c>
      <c r="L285" s="506" t="s">
        <v>375</v>
      </c>
      <c r="M285" s="506" t="s">
        <v>160</v>
      </c>
      <c r="N285" s="49" t="str">
        <f>IF(AND('331-CT'!$E$7=TH!H285,OR(L285="331",M285="331")),"331",IF(AND(OR(L285="131",M285="131"),H285='131-CT'!$E$7),"131",""))</f>
        <v/>
      </c>
      <c r="O285" s="49" t="str">
        <f>IF(AND($B285&gt;='111'!$N$11,$B285&lt;='111'!$O$11,OR($L285=$O$7,$M285=$O$7)),"x","")</f>
        <v/>
      </c>
      <c r="P285" s="49" t="str">
        <f>IF(AND($L285=$O$7,$B285&lt;'111'!$N$11),"x","")</f>
        <v/>
      </c>
      <c r="Q285" s="49" t="str">
        <f>IF(AND($M285=$O$7,$B285&lt;'111'!$N$11),"x","")</f>
        <v/>
      </c>
      <c r="R285" s="49" t="str">
        <f>IF(ISERROR(FIND('112'!$M$9,G285,1)),"",IF((AND(FIND('112'!$M$9,G285,1)&gt;=1,$B285&gt;='112'!$N$8,$B285&lt;='112'!$O$8,OR($L285='112'!$I$6,$M285='112'!$I$6))),"x",""))</f>
        <v/>
      </c>
      <c r="S285" s="49" t="str">
        <f>IF(ISERROR(FIND('112'!$M$9,G285,1)),"",IF((AND(LEFT(G285,2)=LEFT('112'!$M$9,2),B285&lt;'112'!$N$8,$L285='112'!$I$6)),"x",""))</f>
        <v/>
      </c>
      <c r="T285" s="49" t="str">
        <f>IF(ISERROR(FIND('112'!$M$9,G285,1)),"",IF((AND(RIGHT(G285,2)=RIGHT('112'!$M$9,2),B285&lt;'112'!$N$8,$M285='112'!$I$6)),"x",""))</f>
        <v/>
      </c>
      <c r="U285" s="49" t="str">
        <f>IF(AND(L285="154",'154'!$O$5&lt;=B285,'154'!$P$5&gt;=B285),"154",IF(AND(L285="632",'632'!$L$5&lt;=B285,'632'!$M$5&gt;=B285),"632",IF(AND(L285="642",'642'!$N$5&lt;=B285,'642'!$O$5&gt;=B285),"642",IF(AND(L285="641",'641'!$N$5&lt;=B285,'641'!$O$5&gt;=B285),"641",""))))</f>
        <v/>
      </c>
      <c r="V285" s="49" t="str">
        <f>IF(OR(TH!L285=TH!$V$7,M285=TH!$V$7),"x","")</f>
        <v/>
      </c>
      <c r="W285" s="49" t="str">
        <f>IF(AND(B285&gt;='IN-NX'!$P$3,B285&lt;='IN-NX'!$Q$3,'IN-NX'!$D$7=D285,OR(LEFT(L285,2)="15",AND(LEFT(M285,2)&lt;&gt;"15",LEFT(M285,2)&lt;&gt;"33"))),"x","")</f>
        <v/>
      </c>
      <c r="X285" s="49" t="str">
        <f>IF(AND(OR(LEFT(TH!L285,2)="15",LEFT(TH!M285,2)="15"),'152-CT'!$J$8=TH!F285),"x","")</f>
        <v/>
      </c>
      <c r="Y285" s="49" t="str">
        <f>IF(AND(OR(LEFT(TH!L285,2)="15",LEFT(TH!M285,2)="15"),TK!$E$7=TH!F285),"x","")</f>
        <v/>
      </c>
      <c r="Z285" s="49" t="str">
        <f>IF(AND(B285&lt;=NKC!$N$8,B285&gt;=NKC!$M$8),"x","")</f>
        <v/>
      </c>
      <c r="AA285" s="723"/>
      <c r="AB285" s="497"/>
    </row>
    <row r="286" spans="1:28" s="199" customFormat="1" ht="15.75" hidden="1" customHeight="1">
      <c r="A286" s="724" t="str">
        <f>IF(B286&lt;&gt;"",IF(AND(B286&gt;=_TM1,B286&lt;=_TM2,OR(TH!L286="1111",TH!M286="1111")),TH!D286,""),"")</f>
        <v/>
      </c>
      <c r="B286" s="36">
        <f t="shared" si="15"/>
        <v>12</v>
      </c>
      <c r="C286" s="185">
        <f t="shared" si="16"/>
        <v>41274</v>
      </c>
      <c r="D286" s="185" t="s">
        <v>499</v>
      </c>
      <c r="E286" s="185">
        <v>41274</v>
      </c>
      <c r="F286" s="186" t="s">
        <v>539</v>
      </c>
      <c r="G286" s="732"/>
      <c r="H286" s="187" t="s">
        <v>628</v>
      </c>
      <c r="I286" s="247">
        <v>1147</v>
      </c>
      <c r="J286" s="247">
        <v>5705.0942259973081</v>
      </c>
      <c r="K286" s="505">
        <f t="shared" si="19"/>
        <v>6543743</v>
      </c>
      <c r="L286" s="506" t="s">
        <v>375</v>
      </c>
      <c r="M286" s="506" t="s">
        <v>160</v>
      </c>
      <c r="N286" s="49" t="str">
        <f>IF(AND('331-CT'!$E$7=TH!H286,OR(L286="331",M286="331")),"331",IF(AND(OR(L286="131",M286="131"),H286='131-CT'!$E$7),"131",""))</f>
        <v/>
      </c>
      <c r="O286" s="49" t="str">
        <f>IF(AND($B286&gt;='111'!$N$11,$B286&lt;='111'!$O$11,OR($L286=$O$7,$M286=$O$7)),"x","")</f>
        <v/>
      </c>
      <c r="P286" s="49" t="str">
        <f>IF(AND($L286=$O$7,$B286&lt;'111'!$N$11),"x","")</f>
        <v/>
      </c>
      <c r="Q286" s="49" t="str">
        <f>IF(AND($M286=$O$7,$B286&lt;'111'!$N$11),"x","")</f>
        <v/>
      </c>
      <c r="R286" s="49" t="str">
        <f>IF(ISERROR(FIND('112'!$M$9,G286,1)),"",IF((AND(FIND('112'!$M$9,G286,1)&gt;=1,$B286&gt;='112'!$N$8,$B286&lt;='112'!$O$8,OR($L286='112'!$I$6,$M286='112'!$I$6))),"x",""))</f>
        <v/>
      </c>
      <c r="S286" s="49" t="str">
        <f>IF(ISERROR(FIND('112'!$M$9,G286,1)),"",IF((AND(LEFT(G286,2)=LEFT('112'!$M$9,2),B286&lt;'112'!$N$8,$L286='112'!$I$6)),"x",""))</f>
        <v/>
      </c>
      <c r="T286" s="49" t="str">
        <f>IF(ISERROR(FIND('112'!$M$9,G286,1)),"",IF((AND(RIGHT(G286,2)=RIGHT('112'!$M$9,2),B286&lt;'112'!$N$8,$M286='112'!$I$6)),"x",""))</f>
        <v/>
      </c>
      <c r="U286" s="49" t="str">
        <f>IF(AND(L286="154",'154'!$O$5&lt;=B286,'154'!$P$5&gt;=B286),"154",IF(AND(L286="632",'632'!$L$5&lt;=B286,'632'!$M$5&gt;=B286),"632",IF(AND(L286="642",'642'!$N$5&lt;=B286,'642'!$O$5&gt;=B286),"642",IF(AND(L286="641",'641'!$N$5&lt;=B286,'641'!$O$5&gt;=B286),"641",""))))</f>
        <v/>
      </c>
      <c r="V286" s="49" t="str">
        <f>IF(OR(TH!L286=TH!$V$7,M286=TH!$V$7),"x","")</f>
        <v/>
      </c>
      <c r="W286" s="49" t="str">
        <f>IF(AND(B286&gt;='IN-NX'!$P$3,B286&lt;='IN-NX'!$Q$3,'IN-NX'!$D$7=D286,OR(LEFT(L286,2)="15",AND(LEFT(M286,2)&lt;&gt;"15",LEFT(M286,2)&lt;&gt;"33"))),"x","")</f>
        <v/>
      </c>
      <c r="X286" s="49" t="str">
        <f>IF(AND(OR(LEFT(TH!L286,2)="15",LEFT(TH!M286,2)="15"),'152-CT'!$J$8=TH!F286),"x","")</f>
        <v/>
      </c>
      <c r="Y286" s="49" t="str">
        <f>IF(AND(OR(LEFT(TH!L286,2)="15",LEFT(TH!M286,2)="15"),TK!$E$7=TH!F286),"x","")</f>
        <v/>
      </c>
      <c r="Z286" s="49" t="str">
        <f>IF(AND(B286&lt;=NKC!$N$8,B286&gt;=NKC!$M$8),"x","")</f>
        <v/>
      </c>
      <c r="AA286" s="723"/>
      <c r="AB286" s="497"/>
    </row>
    <row r="287" spans="1:28" s="199" customFormat="1" ht="15.75" hidden="1" customHeight="1">
      <c r="A287" s="724" t="str">
        <f>IF(B287&lt;&gt;"",IF(AND(B287&gt;=_TM1,B287&lt;=_TM2,OR(TH!L287="1111",TH!M287="1111")),TH!D287,""),"")</f>
        <v/>
      </c>
      <c r="B287" s="36">
        <f t="shared" si="15"/>
        <v>12</v>
      </c>
      <c r="C287" s="185">
        <f t="shared" si="16"/>
        <v>41274</v>
      </c>
      <c r="D287" s="185" t="s">
        <v>499</v>
      </c>
      <c r="E287" s="185">
        <v>41274</v>
      </c>
      <c r="F287" s="186" t="s">
        <v>544</v>
      </c>
      <c r="G287" s="732"/>
      <c r="H287" s="187" t="s">
        <v>628</v>
      </c>
      <c r="I287" s="247">
        <v>3175</v>
      </c>
      <c r="J287" s="247">
        <v>5320.8980266686931</v>
      </c>
      <c r="K287" s="505">
        <f t="shared" si="19"/>
        <v>16893851</v>
      </c>
      <c r="L287" s="506" t="s">
        <v>375</v>
      </c>
      <c r="M287" s="506" t="s">
        <v>160</v>
      </c>
      <c r="N287" s="49" t="str">
        <f>IF(AND('331-CT'!$E$7=TH!H287,OR(L287="331",M287="331")),"331",IF(AND(OR(L287="131",M287="131"),H287='131-CT'!$E$7),"131",""))</f>
        <v/>
      </c>
      <c r="O287" s="49" t="str">
        <f>IF(AND($B287&gt;='111'!$N$11,$B287&lt;='111'!$O$11,OR($L287=$O$7,$M287=$O$7)),"x","")</f>
        <v/>
      </c>
      <c r="P287" s="49" t="str">
        <f>IF(AND($L287=$O$7,$B287&lt;'111'!$N$11),"x","")</f>
        <v/>
      </c>
      <c r="Q287" s="49" t="str">
        <f>IF(AND($M287=$O$7,$B287&lt;'111'!$N$11),"x","")</f>
        <v/>
      </c>
      <c r="R287" s="49" t="str">
        <f>IF(ISERROR(FIND('112'!$M$9,G287,1)),"",IF((AND(FIND('112'!$M$9,G287,1)&gt;=1,$B287&gt;='112'!$N$8,$B287&lt;='112'!$O$8,OR($L287='112'!$I$6,$M287='112'!$I$6))),"x",""))</f>
        <v/>
      </c>
      <c r="S287" s="49" t="str">
        <f>IF(ISERROR(FIND('112'!$M$9,G287,1)),"",IF((AND(LEFT(G287,2)=LEFT('112'!$M$9,2),B287&lt;'112'!$N$8,$L287='112'!$I$6)),"x",""))</f>
        <v/>
      </c>
      <c r="T287" s="49" t="str">
        <f>IF(ISERROR(FIND('112'!$M$9,G287,1)),"",IF((AND(RIGHT(G287,2)=RIGHT('112'!$M$9,2),B287&lt;'112'!$N$8,$M287='112'!$I$6)),"x",""))</f>
        <v/>
      </c>
      <c r="U287" s="49" t="str">
        <f>IF(AND(L287="154",'154'!$O$5&lt;=B287,'154'!$P$5&gt;=B287),"154",IF(AND(L287="632",'632'!$L$5&lt;=B287,'632'!$M$5&gt;=B287),"632",IF(AND(L287="642",'642'!$N$5&lt;=B287,'642'!$O$5&gt;=B287),"642",IF(AND(L287="641",'641'!$N$5&lt;=B287,'641'!$O$5&gt;=B287),"641",""))))</f>
        <v/>
      </c>
      <c r="V287" s="49" t="str">
        <f>IF(OR(TH!L287=TH!$V$7,M287=TH!$V$7),"x","")</f>
        <v/>
      </c>
      <c r="W287" s="49" t="str">
        <f>IF(AND(B287&gt;='IN-NX'!$P$3,B287&lt;='IN-NX'!$Q$3,'IN-NX'!$D$7=D287,OR(LEFT(L287,2)="15",AND(LEFT(M287,2)&lt;&gt;"15",LEFT(M287,2)&lt;&gt;"33"))),"x","")</f>
        <v/>
      </c>
      <c r="X287" s="49" t="str">
        <f>IF(AND(OR(LEFT(TH!L287,2)="15",LEFT(TH!M287,2)="15"),'152-CT'!$J$8=TH!F287),"x","")</f>
        <v/>
      </c>
      <c r="Y287" s="49" t="str">
        <f>IF(AND(OR(LEFT(TH!L287,2)="15",LEFT(TH!M287,2)="15"),TK!$E$7=TH!F287),"x","")</f>
        <v/>
      </c>
      <c r="Z287" s="49" t="str">
        <f>IF(AND(B287&lt;=NKC!$N$8,B287&gt;=NKC!$M$8),"x","")</f>
        <v/>
      </c>
      <c r="AA287" s="723"/>
      <c r="AB287" s="497"/>
    </row>
    <row r="288" spans="1:28" s="199" customFormat="1" ht="15.75" hidden="1" customHeight="1">
      <c r="A288" s="724" t="str">
        <f>IF(B288&lt;&gt;"",IF(AND(B288&gt;=_TM1,B288&lt;=_TM2,OR(TH!L288="1111",TH!M288="1111")),TH!D288,""),"")</f>
        <v/>
      </c>
      <c r="B288" s="36">
        <f t="shared" si="15"/>
        <v>12</v>
      </c>
      <c r="C288" s="185">
        <f t="shared" si="16"/>
        <v>41274</v>
      </c>
      <c r="D288" s="185" t="s">
        <v>499</v>
      </c>
      <c r="E288" s="185">
        <v>41274</v>
      </c>
      <c r="F288" s="186" t="s">
        <v>557</v>
      </c>
      <c r="G288" s="732"/>
      <c r="H288" s="187" t="s">
        <v>628</v>
      </c>
      <c r="I288" s="247">
        <v>1000</v>
      </c>
      <c r="J288" s="247">
        <v>6273.2781841490087</v>
      </c>
      <c r="K288" s="505">
        <f t="shared" si="19"/>
        <v>6273278</v>
      </c>
      <c r="L288" s="506" t="s">
        <v>375</v>
      </c>
      <c r="M288" s="506" t="s">
        <v>160</v>
      </c>
      <c r="N288" s="49" t="str">
        <f>IF(AND('331-CT'!$E$7=TH!H288,OR(L288="331",M288="331")),"331",IF(AND(OR(L288="131",M288="131"),H288='131-CT'!$E$7),"131",""))</f>
        <v/>
      </c>
      <c r="O288" s="49" t="str">
        <f>IF(AND($B288&gt;='111'!$N$11,$B288&lt;='111'!$O$11,OR($L288=$O$7,$M288=$O$7)),"x","")</f>
        <v/>
      </c>
      <c r="P288" s="49" t="str">
        <f>IF(AND($L288=$O$7,$B288&lt;'111'!$N$11),"x","")</f>
        <v/>
      </c>
      <c r="Q288" s="49" t="str">
        <f>IF(AND($M288=$O$7,$B288&lt;'111'!$N$11),"x","")</f>
        <v/>
      </c>
      <c r="R288" s="49" t="str">
        <f>IF(ISERROR(FIND('112'!$M$9,G288,1)),"",IF((AND(FIND('112'!$M$9,G288,1)&gt;=1,$B288&gt;='112'!$N$8,$B288&lt;='112'!$O$8,OR($L288='112'!$I$6,$M288='112'!$I$6))),"x",""))</f>
        <v/>
      </c>
      <c r="S288" s="49" t="str">
        <f>IF(ISERROR(FIND('112'!$M$9,G288,1)),"",IF((AND(LEFT(G288,2)=LEFT('112'!$M$9,2),B288&lt;'112'!$N$8,$L288='112'!$I$6)),"x",""))</f>
        <v/>
      </c>
      <c r="T288" s="49" t="str">
        <f>IF(ISERROR(FIND('112'!$M$9,G288,1)),"",IF((AND(RIGHT(G288,2)=RIGHT('112'!$M$9,2),B288&lt;'112'!$N$8,$M288='112'!$I$6)),"x",""))</f>
        <v/>
      </c>
      <c r="U288" s="49" t="str">
        <f>IF(AND(L288="154",'154'!$O$5&lt;=B288,'154'!$P$5&gt;=B288),"154",IF(AND(L288="632",'632'!$L$5&lt;=B288,'632'!$M$5&gt;=B288),"632",IF(AND(L288="642",'642'!$N$5&lt;=B288,'642'!$O$5&gt;=B288),"642",IF(AND(L288="641",'641'!$N$5&lt;=B288,'641'!$O$5&gt;=B288),"641",""))))</f>
        <v/>
      </c>
      <c r="V288" s="49" t="str">
        <f>IF(OR(TH!L288=TH!$V$7,M288=TH!$V$7),"x","")</f>
        <v/>
      </c>
      <c r="W288" s="49" t="str">
        <f>IF(AND(B288&gt;='IN-NX'!$P$3,B288&lt;='IN-NX'!$Q$3,'IN-NX'!$D$7=D288,OR(LEFT(L288,2)="15",AND(LEFT(M288,2)&lt;&gt;"15",LEFT(M288,2)&lt;&gt;"33"))),"x","")</f>
        <v/>
      </c>
      <c r="X288" s="49" t="str">
        <f>IF(AND(OR(LEFT(TH!L288,2)="15",LEFT(TH!M288,2)="15"),'152-CT'!$J$8=TH!F288),"x","")</f>
        <v/>
      </c>
      <c r="Y288" s="49" t="str">
        <f>IF(AND(OR(LEFT(TH!L288,2)="15",LEFT(TH!M288,2)="15"),TK!$E$7=TH!F288),"x","")</f>
        <v/>
      </c>
      <c r="Z288" s="49" t="str">
        <f>IF(AND(B288&lt;=NKC!$N$8,B288&gt;=NKC!$M$8),"x","")</f>
        <v/>
      </c>
      <c r="AA288" s="723"/>
      <c r="AB288" s="497"/>
    </row>
    <row r="289" spans="1:28" s="199" customFormat="1" ht="15.75" hidden="1" customHeight="1">
      <c r="A289" s="724" t="str">
        <f>IF(B289&lt;&gt;"",IF(AND(B289&gt;=_TM1,B289&lt;=_TM2,OR(TH!L289="1111",TH!M289="1111")),TH!D289,""),"")</f>
        <v/>
      </c>
      <c r="B289" s="36">
        <f t="shared" si="15"/>
        <v>12</v>
      </c>
      <c r="C289" s="185">
        <f t="shared" si="16"/>
        <v>41274</v>
      </c>
      <c r="D289" s="185" t="s">
        <v>499</v>
      </c>
      <c r="E289" s="185">
        <v>41274</v>
      </c>
      <c r="F289" s="186" t="s">
        <v>555</v>
      </c>
      <c r="G289" s="732"/>
      <c r="H289" s="187" t="s">
        <v>628</v>
      </c>
      <c r="I289" s="247">
        <v>1000</v>
      </c>
      <c r="J289" s="247">
        <v>12495.278184149009</v>
      </c>
      <c r="K289" s="505">
        <f t="shared" si="19"/>
        <v>12495278</v>
      </c>
      <c r="L289" s="506" t="s">
        <v>375</v>
      </c>
      <c r="M289" s="506" t="s">
        <v>160</v>
      </c>
      <c r="N289" s="49" t="str">
        <f>IF(AND('331-CT'!$E$7=TH!H289,OR(L289="331",M289="331")),"331",IF(AND(OR(L289="131",M289="131"),H289='131-CT'!$E$7),"131",""))</f>
        <v/>
      </c>
      <c r="O289" s="49" t="str">
        <f>IF(AND($B289&gt;='111'!$N$11,$B289&lt;='111'!$O$11,OR($L289=$O$7,$M289=$O$7)),"x","")</f>
        <v/>
      </c>
      <c r="P289" s="49" t="str">
        <f>IF(AND($L289=$O$7,$B289&lt;'111'!$N$11),"x","")</f>
        <v/>
      </c>
      <c r="Q289" s="49" t="str">
        <f>IF(AND($M289=$O$7,$B289&lt;'111'!$N$11),"x","")</f>
        <v/>
      </c>
      <c r="R289" s="49" t="str">
        <f>IF(ISERROR(FIND('112'!$M$9,G289,1)),"",IF((AND(FIND('112'!$M$9,G289,1)&gt;=1,$B289&gt;='112'!$N$8,$B289&lt;='112'!$O$8,OR($L289='112'!$I$6,$M289='112'!$I$6))),"x",""))</f>
        <v/>
      </c>
      <c r="S289" s="49" t="str">
        <f>IF(ISERROR(FIND('112'!$M$9,G289,1)),"",IF((AND(LEFT(G289,2)=LEFT('112'!$M$9,2),B289&lt;'112'!$N$8,$L289='112'!$I$6)),"x",""))</f>
        <v/>
      </c>
      <c r="T289" s="49" t="str">
        <f>IF(ISERROR(FIND('112'!$M$9,G289,1)),"",IF((AND(RIGHT(G289,2)=RIGHT('112'!$M$9,2),B289&lt;'112'!$N$8,$M289='112'!$I$6)),"x",""))</f>
        <v/>
      </c>
      <c r="U289" s="49" t="str">
        <f>IF(AND(L289="154",'154'!$O$5&lt;=B289,'154'!$P$5&gt;=B289),"154",IF(AND(L289="632",'632'!$L$5&lt;=B289,'632'!$M$5&gt;=B289),"632",IF(AND(L289="642",'642'!$N$5&lt;=B289,'642'!$O$5&gt;=B289),"642",IF(AND(L289="641",'641'!$N$5&lt;=B289,'641'!$O$5&gt;=B289),"641",""))))</f>
        <v/>
      </c>
      <c r="V289" s="49" t="str">
        <f>IF(OR(TH!L289=TH!$V$7,M289=TH!$V$7),"x","")</f>
        <v/>
      </c>
      <c r="W289" s="49" t="str">
        <f>IF(AND(B289&gt;='IN-NX'!$P$3,B289&lt;='IN-NX'!$Q$3,'IN-NX'!$D$7=D289,OR(LEFT(L289,2)="15",AND(LEFT(M289,2)&lt;&gt;"15",LEFT(M289,2)&lt;&gt;"33"))),"x","")</f>
        <v/>
      </c>
      <c r="X289" s="49" t="str">
        <f>IF(AND(OR(LEFT(TH!L289,2)="15",LEFT(TH!M289,2)="15"),'152-CT'!$J$8=TH!F289),"x","")</f>
        <v/>
      </c>
      <c r="Y289" s="49" t="str">
        <f>IF(AND(OR(LEFT(TH!L289,2)="15",LEFT(TH!M289,2)="15"),TK!$E$7=TH!F289),"x","")</f>
        <v/>
      </c>
      <c r="Z289" s="49" t="str">
        <f>IF(AND(B289&lt;=NKC!$N$8,B289&gt;=NKC!$M$8),"x","")</f>
        <v/>
      </c>
      <c r="AA289" s="723"/>
      <c r="AB289" s="497"/>
    </row>
    <row r="290" spans="1:28" s="199" customFormat="1" ht="15.75" hidden="1" customHeight="1">
      <c r="A290" s="724" t="str">
        <f>IF(B290&lt;&gt;"",IF(AND(B290&gt;=_TM1,B290&lt;=_TM2,OR(TH!L290="1111",TH!M290="1111")),TH!D290,""),"")</f>
        <v/>
      </c>
      <c r="B290" s="36">
        <f t="shared" si="15"/>
        <v>12</v>
      </c>
      <c r="C290" s="185">
        <f t="shared" si="16"/>
        <v>41274</v>
      </c>
      <c r="D290" s="185" t="s">
        <v>499</v>
      </c>
      <c r="E290" s="185">
        <v>41274</v>
      </c>
      <c r="F290" s="186" t="s">
        <v>575</v>
      </c>
      <c r="G290" s="732"/>
      <c r="H290" s="187" t="s">
        <v>628</v>
      </c>
      <c r="I290" s="247">
        <v>1000</v>
      </c>
      <c r="J290" s="247">
        <v>5791.6501841490081</v>
      </c>
      <c r="K290" s="505">
        <f t="shared" si="19"/>
        <v>5791650</v>
      </c>
      <c r="L290" s="506" t="s">
        <v>375</v>
      </c>
      <c r="M290" s="506" t="s">
        <v>160</v>
      </c>
      <c r="N290" s="49" t="str">
        <f>IF(AND('331-CT'!$E$7=TH!H290,OR(L290="331",M290="331")),"331",IF(AND(OR(L290="131",M290="131"),H290='131-CT'!$E$7),"131",""))</f>
        <v/>
      </c>
      <c r="O290" s="49" t="str">
        <f>IF(AND($B290&gt;='111'!$N$11,$B290&lt;='111'!$O$11,OR($L290=$O$7,$M290=$O$7)),"x","")</f>
        <v/>
      </c>
      <c r="P290" s="49" t="str">
        <f>IF(AND($L290=$O$7,$B290&lt;'111'!$N$11),"x","")</f>
        <v/>
      </c>
      <c r="Q290" s="49" t="str">
        <f>IF(AND($M290=$O$7,$B290&lt;'111'!$N$11),"x","")</f>
        <v/>
      </c>
      <c r="R290" s="49" t="str">
        <f>IF(ISERROR(FIND('112'!$M$9,G290,1)),"",IF((AND(FIND('112'!$M$9,G290,1)&gt;=1,$B290&gt;='112'!$N$8,$B290&lt;='112'!$O$8,OR($L290='112'!$I$6,$M290='112'!$I$6))),"x",""))</f>
        <v/>
      </c>
      <c r="S290" s="49" t="str">
        <f>IF(ISERROR(FIND('112'!$M$9,G290,1)),"",IF((AND(LEFT(G290,2)=LEFT('112'!$M$9,2),B290&lt;'112'!$N$8,$L290='112'!$I$6)),"x",""))</f>
        <v/>
      </c>
      <c r="T290" s="49" t="str">
        <f>IF(ISERROR(FIND('112'!$M$9,G290,1)),"",IF((AND(RIGHT(G290,2)=RIGHT('112'!$M$9,2),B290&lt;'112'!$N$8,$M290='112'!$I$6)),"x",""))</f>
        <v/>
      </c>
      <c r="U290" s="49" t="str">
        <f>IF(AND(L290="154",'154'!$O$5&lt;=B290,'154'!$P$5&gt;=B290),"154",IF(AND(L290="632",'632'!$L$5&lt;=B290,'632'!$M$5&gt;=B290),"632",IF(AND(L290="642",'642'!$N$5&lt;=B290,'642'!$O$5&gt;=B290),"642",IF(AND(L290="641",'641'!$N$5&lt;=B290,'641'!$O$5&gt;=B290),"641",""))))</f>
        <v/>
      </c>
      <c r="V290" s="49" t="str">
        <f>IF(OR(TH!L290=TH!$V$7,M290=TH!$V$7),"x","")</f>
        <v/>
      </c>
      <c r="W290" s="49" t="str">
        <f>IF(AND(B290&gt;='IN-NX'!$P$3,B290&lt;='IN-NX'!$Q$3,'IN-NX'!$D$7=D290,OR(LEFT(L290,2)="15",AND(LEFT(M290,2)&lt;&gt;"15",LEFT(M290,2)&lt;&gt;"33"))),"x","")</f>
        <v/>
      </c>
      <c r="X290" s="49" t="str">
        <f>IF(AND(OR(LEFT(TH!L290,2)="15",LEFT(TH!M290,2)="15"),'152-CT'!$J$8=TH!F290),"x","")</f>
        <v/>
      </c>
      <c r="Y290" s="49" t="str">
        <f>IF(AND(OR(LEFT(TH!L290,2)="15",LEFT(TH!M290,2)="15"),TK!$E$7=TH!F290),"x","")</f>
        <v/>
      </c>
      <c r="Z290" s="49" t="str">
        <f>IF(AND(B290&lt;=NKC!$N$8,B290&gt;=NKC!$M$8),"x","")</f>
        <v/>
      </c>
      <c r="AA290" s="723"/>
      <c r="AB290" s="497"/>
    </row>
    <row r="291" spans="1:28" s="199" customFormat="1" ht="15.75" hidden="1" customHeight="1">
      <c r="A291" s="724" t="str">
        <f>IF(B291&lt;&gt;"",IF(AND(B291&gt;=_TM1,B291&lt;=_TM2,OR(TH!L291="1111",TH!M291="1111")),TH!D291,""),"")</f>
        <v/>
      </c>
      <c r="B291" s="36">
        <f t="shared" si="15"/>
        <v>12</v>
      </c>
      <c r="C291" s="185">
        <f t="shared" si="16"/>
        <v>41274</v>
      </c>
      <c r="D291" s="185" t="s">
        <v>499</v>
      </c>
      <c r="E291" s="185">
        <v>41274</v>
      </c>
      <c r="F291" s="186" t="s">
        <v>572</v>
      </c>
      <c r="G291" s="732"/>
      <c r="H291" s="187" t="s">
        <v>628</v>
      </c>
      <c r="I291" s="247">
        <v>300</v>
      </c>
      <c r="J291" s="247">
        <v>5291.2781841490087</v>
      </c>
      <c r="K291" s="505">
        <f t="shared" si="19"/>
        <v>1587383</v>
      </c>
      <c r="L291" s="506" t="s">
        <v>375</v>
      </c>
      <c r="M291" s="506" t="s">
        <v>160</v>
      </c>
      <c r="N291" s="49" t="str">
        <f>IF(AND('331-CT'!$E$7=TH!H291,OR(L291="331",M291="331")),"331",IF(AND(OR(L291="131",M291="131"),H291='131-CT'!$E$7),"131",""))</f>
        <v/>
      </c>
      <c r="O291" s="49" t="str">
        <f>IF(AND($B291&gt;='111'!$N$11,$B291&lt;='111'!$O$11,OR($L291=$O$7,$M291=$O$7)),"x","")</f>
        <v/>
      </c>
      <c r="P291" s="49" t="str">
        <f>IF(AND($L291=$O$7,$B291&lt;'111'!$N$11),"x","")</f>
        <v/>
      </c>
      <c r="Q291" s="49" t="str">
        <f>IF(AND($M291=$O$7,$B291&lt;'111'!$N$11),"x","")</f>
        <v/>
      </c>
      <c r="R291" s="49" t="str">
        <f>IF(ISERROR(FIND('112'!$M$9,G291,1)),"",IF((AND(FIND('112'!$M$9,G291,1)&gt;=1,$B291&gt;='112'!$N$8,$B291&lt;='112'!$O$8,OR($L291='112'!$I$6,$M291='112'!$I$6))),"x",""))</f>
        <v/>
      </c>
      <c r="S291" s="49" t="str">
        <f>IF(ISERROR(FIND('112'!$M$9,G291,1)),"",IF((AND(LEFT(G291,2)=LEFT('112'!$M$9,2),B291&lt;'112'!$N$8,$L291='112'!$I$6)),"x",""))</f>
        <v/>
      </c>
      <c r="T291" s="49" t="str">
        <f>IF(ISERROR(FIND('112'!$M$9,G291,1)),"",IF((AND(RIGHT(G291,2)=RIGHT('112'!$M$9,2),B291&lt;'112'!$N$8,$M291='112'!$I$6)),"x",""))</f>
        <v/>
      </c>
      <c r="U291" s="49" t="str">
        <f>IF(AND(L291="154",'154'!$O$5&lt;=B291,'154'!$P$5&gt;=B291),"154",IF(AND(L291="632",'632'!$L$5&lt;=B291,'632'!$M$5&gt;=B291),"632",IF(AND(L291="642",'642'!$N$5&lt;=B291,'642'!$O$5&gt;=B291),"642",IF(AND(L291="641",'641'!$N$5&lt;=B291,'641'!$O$5&gt;=B291),"641",""))))</f>
        <v/>
      </c>
      <c r="V291" s="49" t="str">
        <f>IF(OR(TH!L291=TH!$V$7,M291=TH!$V$7),"x","")</f>
        <v/>
      </c>
      <c r="W291" s="49" t="str">
        <f>IF(AND(B291&gt;='IN-NX'!$P$3,B291&lt;='IN-NX'!$Q$3,'IN-NX'!$D$7=D291,OR(LEFT(L291,2)="15",AND(LEFT(M291,2)&lt;&gt;"15",LEFT(M291,2)&lt;&gt;"33"))),"x","")</f>
        <v/>
      </c>
      <c r="X291" s="49" t="str">
        <f>IF(AND(OR(LEFT(TH!L291,2)="15",LEFT(TH!M291,2)="15"),'152-CT'!$J$8=TH!F291),"x","")</f>
        <v/>
      </c>
      <c r="Y291" s="49" t="str">
        <f>IF(AND(OR(LEFT(TH!L291,2)="15",LEFT(TH!M291,2)="15"),TK!$E$7=TH!F291),"x","")</f>
        <v/>
      </c>
      <c r="Z291" s="49" t="str">
        <f>IF(AND(B291&lt;=NKC!$N$8,B291&gt;=NKC!$M$8),"x","")</f>
        <v/>
      </c>
      <c r="AA291" s="723"/>
      <c r="AB291" s="497"/>
    </row>
    <row r="292" spans="1:28" s="199" customFormat="1" ht="15.75" hidden="1" customHeight="1">
      <c r="A292" s="724" t="str">
        <f>IF(B292&lt;&gt;"",IF(AND(B292&gt;=_TM1,B292&lt;=_TM2,OR(TH!L292="1111",TH!M292="1111")),TH!D292,""),"")</f>
        <v/>
      </c>
      <c r="B292" s="36">
        <f t="shared" ref="B292:B325" si="20">IF(C292&lt;&gt;"",MONTH(C292),"")</f>
        <v>12</v>
      </c>
      <c r="C292" s="185">
        <f t="shared" si="16"/>
        <v>41274</v>
      </c>
      <c r="D292" s="185" t="s">
        <v>499</v>
      </c>
      <c r="E292" s="185">
        <v>41274</v>
      </c>
      <c r="F292" s="186" t="s">
        <v>559</v>
      </c>
      <c r="G292" s="732"/>
      <c r="H292" s="187" t="s">
        <v>628</v>
      </c>
      <c r="I292" s="247">
        <v>550</v>
      </c>
      <c r="J292" s="247">
        <v>4454.2781841490087</v>
      </c>
      <c r="K292" s="505">
        <f t="shared" si="19"/>
        <v>2449853</v>
      </c>
      <c r="L292" s="506" t="s">
        <v>375</v>
      </c>
      <c r="M292" s="506" t="s">
        <v>160</v>
      </c>
      <c r="N292" s="49" t="str">
        <f>IF(AND('331-CT'!$E$7=TH!H292,OR(L292="331",M292="331")),"331",IF(AND(OR(L292="131",M292="131"),H292='131-CT'!$E$7),"131",""))</f>
        <v/>
      </c>
      <c r="O292" s="49" t="str">
        <f>IF(AND($B292&gt;='111'!$N$11,$B292&lt;='111'!$O$11,OR($L292=$O$7,$M292=$O$7)),"x","")</f>
        <v/>
      </c>
      <c r="P292" s="49" t="str">
        <f>IF(AND($L292=$O$7,$B292&lt;'111'!$N$11),"x","")</f>
        <v/>
      </c>
      <c r="Q292" s="49" t="str">
        <f>IF(AND($M292=$O$7,$B292&lt;'111'!$N$11),"x","")</f>
        <v/>
      </c>
      <c r="R292" s="49" t="str">
        <f>IF(ISERROR(FIND('112'!$M$9,G292,1)),"",IF((AND(FIND('112'!$M$9,G292,1)&gt;=1,$B292&gt;='112'!$N$8,$B292&lt;='112'!$O$8,OR($L292='112'!$I$6,$M292='112'!$I$6))),"x",""))</f>
        <v/>
      </c>
      <c r="S292" s="49" t="str">
        <f>IF(ISERROR(FIND('112'!$M$9,G292,1)),"",IF((AND(LEFT(G292,2)=LEFT('112'!$M$9,2),B292&lt;'112'!$N$8,$L292='112'!$I$6)),"x",""))</f>
        <v/>
      </c>
      <c r="T292" s="49" t="str">
        <f>IF(ISERROR(FIND('112'!$M$9,G292,1)),"",IF((AND(RIGHT(G292,2)=RIGHT('112'!$M$9,2),B292&lt;'112'!$N$8,$M292='112'!$I$6)),"x",""))</f>
        <v/>
      </c>
      <c r="U292" s="49" t="str">
        <f>IF(AND(L292="154",'154'!$O$5&lt;=B292,'154'!$P$5&gt;=B292),"154",IF(AND(L292="632",'632'!$L$5&lt;=B292,'632'!$M$5&gt;=B292),"632",IF(AND(L292="642",'642'!$N$5&lt;=B292,'642'!$O$5&gt;=B292),"642",IF(AND(L292="641",'641'!$N$5&lt;=B292,'641'!$O$5&gt;=B292),"641",""))))</f>
        <v/>
      </c>
      <c r="V292" s="49" t="str">
        <f>IF(OR(TH!L292=TH!$V$7,M292=TH!$V$7),"x","")</f>
        <v/>
      </c>
      <c r="W292" s="49" t="str">
        <f>IF(AND(B292&gt;='IN-NX'!$P$3,B292&lt;='IN-NX'!$Q$3,'IN-NX'!$D$7=D292,OR(LEFT(L292,2)="15",AND(LEFT(M292,2)&lt;&gt;"15",LEFT(M292,2)&lt;&gt;"33"))),"x","")</f>
        <v/>
      </c>
      <c r="X292" s="49" t="str">
        <f>IF(AND(OR(LEFT(TH!L292,2)="15",LEFT(TH!M292,2)="15"),'152-CT'!$J$8=TH!F292),"x","")</f>
        <v/>
      </c>
      <c r="Y292" s="49" t="str">
        <f>IF(AND(OR(LEFT(TH!L292,2)="15",LEFT(TH!M292,2)="15"),TK!$E$7=TH!F292),"x","")</f>
        <v/>
      </c>
      <c r="Z292" s="49" t="str">
        <f>IF(AND(B292&lt;=NKC!$N$8,B292&gt;=NKC!$M$8),"x","")</f>
        <v/>
      </c>
      <c r="AA292" s="723"/>
      <c r="AB292" s="497"/>
    </row>
    <row r="293" spans="1:28" s="199" customFormat="1" ht="15.75" hidden="1" customHeight="1">
      <c r="A293" s="724" t="str">
        <f>IF(B293&lt;&gt;"",IF(AND(B293&gt;=_TM1,B293&lt;=_TM2,OR(TH!L293="1111",TH!M293="1111")),TH!D293,""),"")</f>
        <v/>
      </c>
      <c r="B293" s="36">
        <f t="shared" si="20"/>
        <v>12</v>
      </c>
      <c r="C293" s="185">
        <f t="shared" si="16"/>
        <v>41274</v>
      </c>
      <c r="D293" s="185" t="s">
        <v>499</v>
      </c>
      <c r="E293" s="185">
        <v>41274</v>
      </c>
      <c r="F293" s="186" t="s">
        <v>534</v>
      </c>
      <c r="G293" s="732"/>
      <c r="H293" s="187" t="s">
        <v>628</v>
      </c>
      <c r="I293" s="247">
        <v>2250</v>
      </c>
      <c r="J293" s="247">
        <v>4454.2781841490078</v>
      </c>
      <c r="K293" s="505">
        <f t="shared" si="19"/>
        <v>10022126</v>
      </c>
      <c r="L293" s="506" t="s">
        <v>375</v>
      </c>
      <c r="M293" s="506" t="s">
        <v>160</v>
      </c>
      <c r="N293" s="49" t="str">
        <f>IF(AND('331-CT'!$E$7=TH!H293,OR(L293="331",M293="331")),"331",IF(AND(OR(L293="131",M293="131"),H293='131-CT'!$E$7),"131",""))</f>
        <v/>
      </c>
      <c r="O293" s="49" t="str">
        <f>IF(AND($B293&gt;='111'!$N$11,$B293&lt;='111'!$O$11,OR($L293=$O$7,$M293=$O$7)),"x","")</f>
        <v/>
      </c>
      <c r="P293" s="49" t="str">
        <f>IF(AND($L293=$O$7,$B293&lt;'111'!$N$11),"x","")</f>
        <v/>
      </c>
      <c r="Q293" s="49" t="str">
        <f>IF(AND($M293=$O$7,$B293&lt;'111'!$N$11),"x","")</f>
        <v/>
      </c>
      <c r="R293" s="49" t="str">
        <f>IF(ISERROR(FIND('112'!$M$9,G293,1)),"",IF((AND(FIND('112'!$M$9,G293,1)&gt;=1,$B293&gt;='112'!$N$8,$B293&lt;='112'!$O$8,OR($L293='112'!$I$6,$M293='112'!$I$6))),"x",""))</f>
        <v/>
      </c>
      <c r="S293" s="49" t="str">
        <f>IF(ISERROR(FIND('112'!$M$9,G293,1)),"",IF((AND(LEFT(G293,2)=LEFT('112'!$M$9,2),B293&lt;'112'!$N$8,$L293='112'!$I$6)),"x",""))</f>
        <v/>
      </c>
      <c r="T293" s="49" t="str">
        <f>IF(ISERROR(FIND('112'!$M$9,G293,1)),"",IF((AND(RIGHT(G293,2)=RIGHT('112'!$M$9,2),B293&lt;'112'!$N$8,$M293='112'!$I$6)),"x",""))</f>
        <v/>
      </c>
      <c r="U293" s="49" t="str">
        <f>IF(AND(L293="154",'154'!$O$5&lt;=B293,'154'!$P$5&gt;=B293),"154",IF(AND(L293="632",'632'!$L$5&lt;=B293,'632'!$M$5&gt;=B293),"632",IF(AND(L293="642",'642'!$N$5&lt;=B293,'642'!$O$5&gt;=B293),"642",IF(AND(L293="641",'641'!$N$5&lt;=B293,'641'!$O$5&gt;=B293),"641",""))))</f>
        <v/>
      </c>
      <c r="V293" s="49" t="str">
        <f>IF(OR(TH!L293=TH!$V$7,M293=TH!$V$7),"x","")</f>
        <v/>
      </c>
      <c r="W293" s="49" t="str">
        <f>IF(AND(B293&gt;='IN-NX'!$P$3,B293&lt;='IN-NX'!$Q$3,'IN-NX'!$D$7=D293,OR(LEFT(L293,2)="15",AND(LEFT(M293,2)&lt;&gt;"15",LEFT(M293,2)&lt;&gt;"33"))),"x","")</f>
        <v/>
      </c>
      <c r="X293" s="49" t="str">
        <f>IF(AND(OR(LEFT(TH!L293,2)="15",LEFT(TH!M293,2)="15"),'152-CT'!$J$8=TH!F293),"x","")</f>
        <v/>
      </c>
      <c r="Y293" s="49" t="str">
        <f>IF(AND(OR(LEFT(TH!L293,2)="15",LEFT(TH!M293,2)="15"),TK!$E$7=TH!F293),"x","")</f>
        <v/>
      </c>
      <c r="Z293" s="49" t="str">
        <f>IF(AND(B293&lt;=NKC!$N$8,B293&gt;=NKC!$M$8),"x","")</f>
        <v/>
      </c>
      <c r="AA293" s="723"/>
      <c r="AB293" s="497"/>
    </row>
    <row r="294" spans="1:28" s="199" customFormat="1" ht="15.75" hidden="1" customHeight="1">
      <c r="A294" s="724" t="str">
        <f>IF(B294&lt;&gt;"",IF(AND(B294&gt;=_TM1,B294&lt;=_TM2,OR(TH!L294="1111",TH!M294="1111")),TH!D294,""),"")</f>
        <v/>
      </c>
      <c r="B294" s="36">
        <f t="shared" si="20"/>
        <v>12</v>
      </c>
      <c r="C294" s="185">
        <f t="shared" si="16"/>
        <v>41274</v>
      </c>
      <c r="D294" s="185" t="s">
        <v>499</v>
      </c>
      <c r="E294" s="185">
        <v>41274</v>
      </c>
      <c r="F294" s="186" t="s">
        <v>574</v>
      </c>
      <c r="G294" s="732"/>
      <c r="H294" s="187" t="s">
        <v>628</v>
      </c>
      <c r="I294" s="247">
        <v>500</v>
      </c>
      <c r="J294" s="247">
        <v>4454.2781841490087</v>
      </c>
      <c r="K294" s="505">
        <f t="shared" si="19"/>
        <v>2227139</v>
      </c>
      <c r="L294" s="506" t="s">
        <v>375</v>
      </c>
      <c r="M294" s="506" t="s">
        <v>160</v>
      </c>
      <c r="N294" s="49" t="str">
        <f>IF(AND('331-CT'!$E$7=TH!H294,OR(L294="331",M294="331")),"331",IF(AND(OR(L294="131",M294="131"),H294='131-CT'!$E$7),"131",""))</f>
        <v/>
      </c>
      <c r="O294" s="49" t="str">
        <f>IF(AND($B294&gt;='111'!$N$11,$B294&lt;='111'!$O$11,OR($L294=$O$7,$M294=$O$7)),"x","")</f>
        <v/>
      </c>
      <c r="P294" s="49" t="str">
        <f>IF(AND($L294=$O$7,$B294&lt;'111'!$N$11),"x","")</f>
        <v/>
      </c>
      <c r="Q294" s="49" t="str">
        <f>IF(AND($M294=$O$7,$B294&lt;'111'!$N$11),"x","")</f>
        <v/>
      </c>
      <c r="R294" s="49" t="str">
        <f>IF(ISERROR(FIND('112'!$M$9,G294,1)),"",IF((AND(FIND('112'!$M$9,G294,1)&gt;=1,$B294&gt;='112'!$N$8,$B294&lt;='112'!$O$8,OR($L294='112'!$I$6,$M294='112'!$I$6))),"x",""))</f>
        <v/>
      </c>
      <c r="S294" s="49" t="str">
        <f>IF(ISERROR(FIND('112'!$M$9,G294,1)),"",IF((AND(LEFT(G294,2)=LEFT('112'!$M$9,2),B294&lt;'112'!$N$8,$L294='112'!$I$6)),"x",""))</f>
        <v/>
      </c>
      <c r="T294" s="49" t="str">
        <f>IF(ISERROR(FIND('112'!$M$9,G294,1)),"",IF((AND(RIGHT(G294,2)=RIGHT('112'!$M$9,2),B294&lt;'112'!$N$8,$M294='112'!$I$6)),"x",""))</f>
        <v/>
      </c>
      <c r="U294" s="49" t="str">
        <f>IF(AND(L294="154",'154'!$O$5&lt;=B294,'154'!$P$5&gt;=B294),"154",IF(AND(L294="632",'632'!$L$5&lt;=B294,'632'!$M$5&gt;=B294),"632",IF(AND(L294="642",'642'!$N$5&lt;=B294,'642'!$O$5&gt;=B294),"642",IF(AND(L294="641",'641'!$N$5&lt;=B294,'641'!$O$5&gt;=B294),"641",""))))</f>
        <v/>
      </c>
      <c r="V294" s="49" t="str">
        <f>IF(OR(TH!L294=TH!$V$7,M294=TH!$V$7),"x","")</f>
        <v/>
      </c>
      <c r="W294" s="49" t="str">
        <f>IF(AND(B294&gt;='IN-NX'!$P$3,B294&lt;='IN-NX'!$Q$3,'IN-NX'!$D$7=D294,OR(LEFT(L294,2)="15",AND(LEFT(M294,2)&lt;&gt;"15",LEFT(M294,2)&lt;&gt;"33"))),"x","")</f>
        <v/>
      </c>
      <c r="X294" s="49" t="str">
        <f>IF(AND(OR(LEFT(TH!L294,2)="15",LEFT(TH!M294,2)="15"),'152-CT'!$J$8=TH!F294),"x","")</f>
        <v/>
      </c>
      <c r="Y294" s="49" t="str">
        <f>IF(AND(OR(LEFT(TH!L294,2)="15",LEFT(TH!M294,2)="15"),TK!$E$7=TH!F294),"x","")</f>
        <v/>
      </c>
      <c r="Z294" s="49" t="str">
        <f>IF(AND(B294&lt;=NKC!$N$8,B294&gt;=NKC!$M$8),"x","")</f>
        <v/>
      </c>
      <c r="AA294" s="723"/>
      <c r="AB294" s="497"/>
    </row>
    <row r="295" spans="1:28" s="199" customFormat="1" ht="15.75" hidden="1" customHeight="1">
      <c r="A295" s="724" t="str">
        <f>IF(B295&lt;&gt;"",IF(AND(B295&gt;=_TM1,B295&lt;=_TM2,OR(TH!L295="1111",TH!M295="1111")),TH!D295,""),"")</f>
        <v/>
      </c>
      <c r="B295" s="36">
        <f t="shared" si="20"/>
        <v>12</v>
      </c>
      <c r="C295" s="185">
        <f t="shared" si="16"/>
        <v>41274</v>
      </c>
      <c r="D295" s="185" t="s">
        <v>499</v>
      </c>
      <c r="E295" s="185">
        <v>41274</v>
      </c>
      <c r="F295" s="186" t="s">
        <v>550</v>
      </c>
      <c r="G295" s="732"/>
      <c r="H295" s="187" t="s">
        <v>628</v>
      </c>
      <c r="I295" s="247">
        <v>2000</v>
      </c>
      <c r="J295" s="247">
        <v>5987.2781841490087</v>
      </c>
      <c r="K295" s="505">
        <f t="shared" si="19"/>
        <v>11974556</v>
      </c>
      <c r="L295" s="506" t="s">
        <v>375</v>
      </c>
      <c r="M295" s="506" t="s">
        <v>160</v>
      </c>
      <c r="N295" s="49" t="str">
        <f>IF(AND('331-CT'!$E$7=TH!H295,OR(L295="331",M295="331")),"331",IF(AND(OR(L295="131",M295="131"),H295='131-CT'!$E$7),"131",""))</f>
        <v/>
      </c>
      <c r="O295" s="49" t="str">
        <f>IF(AND($B295&gt;='111'!$N$11,$B295&lt;='111'!$O$11,OR($L295=$O$7,$M295=$O$7)),"x","")</f>
        <v/>
      </c>
      <c r="P295" s="49" t="str">
        <f>IF(AND($L295=$O$7,$B295&lt;'111'!$N$11),"x","")</f>
        <v/>
      </c>
      <c r="Q295" s="49" t="str">
        <f>IF(AND($M295=$O$7,$B295&lt;'111'!$N$11),"x","")</f>
        <v/>
      </c>
      <c r="R295" s="49" t="str">
        <f>IF(ISERROR(FIND('112'!$M$9,G295,1)),"",IF((AND(FIND('112'!$M$9,G295,1)&gt;=1,$B295&gt;='112'!$N$8,$B295&lt;='112'!$O$8,OR($L295='112'!$I$6,$M295='112'!$I$6))),"x",""))</f>
        <v/>
      </c>
      <c r="S295" s="49" t="str">
        <f>IF(ISERROR(FIND('112'!$M$9,G295,1)),"",IF((AND(LEFT(G295,2)=LEFT('112'!$M$9,2),B295&lt;'112'!$N$8,$L295='112'!$I$6)),"x",""))</f>
        <v/>
      </c>
      <c r="T295" s="49" t="str">
        <f>IF(ISERROR(FIND('112'!$M$9,G295,1)),"",IF((AND(RIGHT(G295,2)=RIGHT('112'!$M$9,2),B295&lt;'112'!$N$8,$M295='112'!$I$6)),"x",""))</f>
        <v/>
      </c>
      <c r="U295" s="49" t="str">
        <f>IF(AND(L295="154",'154'!$O$5&lt;=B295,'154'!$P$5&gt;=B295),"154",IF(AND(L295="632",'632'!$L$5&lt;=B295,'632'!$M$5&gt;=B295),"632",IF(AND(L295="642",'642'!$N$5&lt;=B295,'642'!$O$5&gt;=B295),"642",IF(AND(L295="641",'641'!$N$5&lt;=B295,'641'!$O$5&gt;=B295),"641",""))))</f>
        <v/>
      </c>
      <c r="V295" s="49" t="str">
        <f>IF(OR(TH!L295=TH!$V$7,M295=TH!$V$7),"x","")</f>
        <v/>
      </c>
      <c r="W295" s="49" t="str">
        <f>IF(AND(B295&gt;='IN-NX'!$P$3,B295&lt;='IN-NX'!$Q$3,'IN-NX'!$D$7=D295,OR(LEFT(L295,2)="15",AND(LEFT(M295,2)&lt;&gt;"15",LEFT(M295,2)&lt;&gt;"33"))),"x","")</f>
        <v/>
      </c>
      <c r="X295" s="49" t="str">
        <f>IF(AND(OR(LEFT(TH!L295,2)="15",LEFT(TH!M295,2)="15"),'152-CT'!$J$8=TH!F295),"x","")</f>
        <v/>
      </c>
      <c r="Y295" s="49" t="str">
        <f>IF(AND(OR(LEFT(TH!L295,2)="15",LEFT(TH!M295,2)="15"),TK!$E$7=TH!F295),"x","")</f>
        <v/>
      </c>
      <c r="Z295" s="49" t="str">
        <f>IF(AND(B295&lt;=NKC!$N$8,B295&gt;=NKC!$M$8),"x","")</f>
        <v/>
      </c>
      <c r="AA295" s="723"/>
      <c r="AB295" s="497"/>
    </row>
    <row r="296" spans="1:28" s="199" customFormat="1" ht="15.75" hidden="1" customHeight="1">
      <c r="A296" s="724" t="str">
        <f>IF(B296&lt;&gt;"",IF(AND(B296&gt;=_TM1,B296&lt;=_TM2,OR(TH!L296="1111",TH!M296="1111")),TH!D296,""),"")</f>
        <v/>
      </c>
      <c r="B296" s="36">
        <f t="shared" si="20"/>
        <v>12</v>
      </c>
      <c r="C296" s="185">
        <f t="shared" si="16"/>
        <v>41274</v>
      </c>
      <c r="D296" s="185" t="s">
        <v>499</v>
      </c>
      <c r="E296" s="185">
        <v>41274</v>
      </c>
      <c r="F296" s="186" t="s">
        <v>573</v>
      </c>
      <c r="G296" s="732"/>
      <c r="H296" s="187" t="s">
        <v>628</v>
      </c>
      <c r="I296" s="247">
        <v>350</v>
      </c>
      <c r="J296" s="247">
        <v>5449.2781841490087</v>
      </c>
      <c r="K296" s="505">
        <f t="shared" si="19"/>
        <v>1907247</v>
      </c>
      <c r="L296" s="506" t="s">
        <v>375</v>
      </c>
      <c r="M296" s="506" t="s">
        <v>160</v>
      </c>
      <c r="N296" s="49" t="str">
        <f>IF(AND('331-CT'!$E$7=TH!H296,OR(L296="331",M296="331")),"331",IF(AND(OR(L296="131",M296="131"),H296='131-CT'!$E$7),"131",""))</f>
        <v/>
      </c>
      <c r="O296" s="49" t="str">
        <f>IF(AND($B296&gt;='111'!$N$11,$B296&lt;='111'!$O$11,OR($L296=$O$7,$M296=$O$7)),"x","")</f>
        <v/>
      </c>
      <c r="P296" s="49" t="str">
        <f>IF(AND($L296=$O$7,$B296&lt;'111'!$N$11),"x","")</f>
        <v/>
      </c>
      <c r="Q296" s="49" t="str">
        <f>IF(AND($M296=$O$7,$B296&lt;'111'!$N$11),"x","")</f>
        <v/>
      </c>
      <c r="R296" s="49" t="str">
        <f>IF(ISERROR(FIND('112'!$M$9,G296,1)),"",IF((AND(FIND('112'!$M$9,G296,1)&gt;=1,$B296&gt;='112'!$N$8,$B296&lt;='112'!$O$8,OR($L296='112'!$I$6,$M296='112'!$I$6))),"x",""))</f>
        <v/>
      </c>
      <c r="S296" s="49" t="str">
        <f>IF(ISERROR(FIND('112'!$M$9,G296,1)),"",IF((AND(LEFT(G296,2)=LEFT('112'!$M$9,2),B296&lt;'112'!$N$8,$L296='112'!$I$6)),"x",""))</f>
        <v/>
      </c>
      <c r="T296" s="49" t="str">
        <f>IF(ISERROR(FIND('112'!$M$9,G296,1)),"",IF((AND(RIGHT(G296,2)=RIGHT('112'!$M$9,2),B296&lt;'112'!$N$8,$M296='112'!$I$6)),"x",""))</f>
        <v/>
      </c>
      <c r="U296" s="49" t="str">
        <f>IF(AND(L296="154",'154'!$O$5&lt;=B296,'154'!$P$5&gt;=B296),"154",IF(AND(L296="632",'632'!$L$5&lt;=B296,'632'!$M$5&gt;=B296),"632",IF(AND(L296="642",'642'!$N$5&lt;=B296,'642'!$O$5&gt;=B296),"642",IF(AND(L296="641",'641'!$N$5&lt;=B296,'641'!$O$5&gt;=B296),"641",""))))</f>
        <v/>
      </c>
      <c r="V296" s="49" t="str">
        <f>IF(OR(TH!L296=TH!$V$7,M296=TH!$V$7),"x","")</f>
        <v/>
      </c>
      <c r="W296" s="49" t="str">
        <f>IF(AND(B296&gt;='IN-NX'!$P$3,B296&lt;='IN-NX'!$Q$3,'IN-NX'!$D$7=D296,OR(LEFT(L296,2)="15",AND(LEFT(M296,2)&lt;&gt;"15",LEFT(M296,2)&lt;&gt;"33"))),"x","")</f>
        <v/>
      </c>
      <c r="X296" s="49" t="str">
        <f>IF(AND(OR(LEFT(TH!L296,2)="15",LEFT(TH!M296,2)="15"),'152-CT'!$J$8=TH!F296),"x","")</f>
        <v/>
      </c>
      <c r="Y296" s="49" t="str">
        <f>IF(AND(OR(LEFT(TH!L296,2)="15",LEFT(TH!M296,2)="15"),TK!$E$7=TH!F296),"x","")</f>
        <v/>
      </c>
      <c r="Z296" s="49" t="str">
        <f>IF(AND(B296&lt;=NKC!$N$8,B296&gt;=NKC!$M$8),"x","")</f>
        <v/>
      </c>
      <c r="AA296" s="723"/>
      <c r="AB296" s="497"/>
    </row>
    <row r="297" spans="1:28" s="199" customFormat="1" ht="15.75" hidden="1" customHeight="1">
      <c r="A297" s="724" t="str">
        <f>IF(B297&lt;&gt;"",IF(AND(B297&gt;=_TM1,B297&lt;=_TM2,OR(TH!L297="1111",TH!M297="1111")),TH!D297,""),"")</f>
        <v/>
      </c>
      <c r="B297" s="36">
        <f t="shared" si="20"/>
        <v>12</v>
      </c>
      <c r="C297" s="185">
        <f t="shared" si="16"/>
        <v>41274</v>
      </c>
      <c r="D297" s="185" t="s">
        <v>499</v>
      </c>
      <c r="E297" s="185">
        <v>41274</v>
      </c>
      <c r="F297" s="186" t="s">
        <v>583</v>
      </c>
      <c r="G297" s="732"/>
      <c r="H297" s="187" t="s">
        <v>628</v>
      </c>
      <c r="I297" s="247">
        <v>260</v>
      </c>
      <c r="J297" s="247">
        <v>19286.27818414901</v>
      </c>
      <c r="K297" s="505">
        <f t="shared" si="19"/>
        <v>5014432</v>
      </c>
      <c r="L297" s="506" t="s">
        <v>375</v>
      </c>
      <c r="M297" s="506" t="s">
        <v>160</v>
      </c>
      <c r="N297" s="49" t="str">
        <f>IF(AND('331-CT'!$E$7=TH!H297,OR(L297="331",M297="331")),"331",IF(AND(OR(L297="131",M297="131"),H297='131-CT'!$E$7),"131",""))</f>
        <v/>
      </c>
      <c r="O297" s="49" t="str">
        <f>IF(AND($B297&gt;='111'!$N$11,$B297&lt;='111'!$O$11,OR($L297=$O$7,$M297=$O$7)),"x","")</f>
        <v/>
      </c>
      <c r="P297" s="49" t="str">
        <f>IF(AND($L297=$O$7,$B297&lt;'111'!$N$11),"x","")</f>
        <v/>
      </c>
      <c r="Q297" s="49" t="str">
        <f>IF(AND($M297=$O$7,$B297&lt;'111'!$N$11),"x","")</f>
        <v/>
      </c>
      <c r="R297" s="49" t="str">
        <f>IF(ISERROR(FIND('112'!$M$9,G297,1)),"",IF((AND(FIND('112'!$M$9,G297,1)&gt;=1,$B297&gt;='112'!$N$8,$B297&lt;='112'!$O$8,OR($L297='112'!$I$6,$M297='112'!$I$6))),"x",""))</f>
        <v/>
      </c>
      <c r="S297" s="49" t="str">
        <f>IF(ISERROR(FIND('112'!$M$9,G297,1)),"",IF((AND(LEFT(G297,2)=LEFT('112'!$M$9,2),B297&lt;'112'!$N$8,$L297='112'!$I$6)),"x",""))</f>
        <v/>
      </c>
      <c r="T297" s="49" t="str">
        <f>IF(ISERROR(FIND('112'!$M$9,G297,1)),"",IF((AND(RIGHT(G297,2)=RIGHT('112'!$M$9,2),B297&lt;'112'!$N$8,$M297='112'!$I$6)),"x",""))</f>
        <v/>
      </c>
      <c r="U297" s="49" t="str">
        <f>IF(AND(L297="154",'154'!$O$5&lt;=B297,'154'!$P$5&gt;=B297),"154",IF(AND(L297="632",'632'!$L$5&lt;=B297,'632'!$M$5&gt;=B297),"632",IF(AND(L297="642",'642'!$N$5&lt;=B297,'642'!$O$5&gt;=B297),"642",IF(AND(L297="641",'641'!$N$5&lt;=B297,'641'!$O$5&gt;=B297),"641",""))))</f>
        <v/>
      </c>
      <c r="V297" s="49" t="str">
        <f>IF(OR(TH!L297=TH!$V$7,M297=TH!$V$7),"x","")</f>
        <v/>
      </c>
      <c r="W297" s="49" t="str">
        <f>IF(AND(B297&gt;='IN-NX'!$P$3,B297&lt;='IN-NX'!$Q$3,'IN-NX'!$D$7=D297,OR(LEFT(L297,2)="15",AND(LEFT(M297,2)&lt;&gt;"15",LEFT(M297,2)&lt;&gt;"33"))),"x","")</f>
        <v/>
      </c>
      <c r="X297" s="49" t="str">
        <f>IF(AND(OR(LEFT(TH!L297,2)="15",LEFT(TH!M297,2)="15"),'152-CT'!$J$8=TH!F297),"x","")</f>
        <v/>
      </c>
      <c r="Y297" s="49" t="str">
        <f>IF(AND(OR(LEFT(TH!L297,2)="15",LEFT(TH!M297,2)="15"),TK!$E$7=TH!F297),"x","")</f>
        <v/>
      </c>
      <c r="Z297" s="49" t="str">
        <f>IF(AND(B297&lt;=NKC!$N$8,B297&gt;=NKC!$M$8),"x","")</f>
        <v/>
      </c>
      <c r="AA297" s="723"/>
      <c r="AB297" s="497"/>
    </row>
    <row r="298" spans="1:28" s="199" customFormat="1" ht="15.75" hidden="1" customHeight="1">
      <c r="A298" s="724" t="str">
        <f>IF(B298&lt;&gt;"",IF(AND(B298&gt;=_TM1,B298&lt;=_TM2,OR(TH!L298="1111",TH!M298="1111")),TH!D298,""),"")</f>
        <v/>
      </c>
      <c r="B298" s="36">
        <f t="shared" si="20"/>
        <v>12</v>
      </c>
      <c r="C298" s="185">
        <f t="shared" si="16"/>
        <v>41274</v>
      </c>
      <c r="D298" s="185" t="s">
        <v>499</v>
      </c>
      <c r="E298" s="185">
        <v>41274</v>
      </c>
      <c r="F298" s="186" t="s">
        <v>562</v>
      </c>
      <c r="G298" s="732"/>
      <c r="H298" s="187" t="s">
        <v>628</v>
      </c>
      <c r="I298" s="247">
        <v>500</v>
      </c>
      <c r="J298" s="247">
        <v>10462.278184149009</v>
      </c>
      <c r="K298" s="505">
        <f t="shared" si="19"/>
        <v>5231139</v>
      </c>
      <c r="L298" s="506" t="s">
        <v>375</v>
      </c>
      <c r="M298" s="506" t="s">
        <v>160</v>
      </c>
      <c r="N298" s="49" t="str">
        <f>IF(AND('331-CT'!$E$7=TH!H298,OR(L298="331",M298="331")),"331",IF(AND(OR(L298="131",M298="131"),H298='131-CT'!$E$7),"131",""))</f>
        <v/>
      </c>
      <c r="O298" s="49" t="str">
        <f>IF(AND($B298&gt;='111'!$N$11,$B298&lt;='111'!$O$11,OR($L298=$O$7,$M298=$O$7)),"x","")</f>
        <v/>
      </c>
      <c r="P298" s="49" t="str">
        <f>IF(AND($L298=$O$7,$B298&lt;'111'!$N$11),"x","")</f>
        <v/>
      </c>
      <c r="Q298" s="49" t="str">
        <f>IF(AND($M298=$O$7,$B298&lt;'111'!$N$11),"x","")</f>
        <v/>
      </c>
      <c r="R298" s="49" t="str">
        <f>IF(ISERROR(FIND('112'!$M$9,G298,1)),"",IF((AND(FIND('112'!$M$9,G298,1)&gt;=1,$B298&gt;='112'!$N$8,$B298&lt;='112'!$O$8,OR($L298='112'!$I$6,$M298='112'!$I$6))),"x",""))</f>
        <v/>
      </c>
      <c r="S298" s="49" t="str">
        <f>IF(ISERROR(FIND('112'!$M$9,G298,1)),"",IF((AND(LEFT(G298,2)=LEFT('112'!$M$9,2),B298&lt;'112'!$N$8,$L298='112'!$I$6)),"x",""))</f>
        <v/>
      </c>
      <c r="T298" s="49" t="str">
        <f>IF(ISERROR(FIND('112'!$M$9,G298,1)),"",IF((AND(RIGHT(G298,2)=RIGHT('112'!$M$9,2),B298&lt;'112'!$N$8,$M298='112'!$I$6)),"x",""))</f>
        <v/>
      </c>
      <c r="U298" s="49" t="str">
        <f>IF(AND(L298="154",'154'!$O$5&lt;=B298,'154'!$P$5&gt;=B298),"154",IF(AND(L298="632",'632'!$L$5&lt;=B298,'632'!$M$5&gt;=B298),"632",IF(AND(L298="642",'642'!$N$5&lt;=B298,'642'!$O$5&gt;=B298),"642",IF(AND(L298="641",'641'!$N$5&lt;=B298,'641'!$O$5&gt;=B298),"641",""))))</f>
        <v/>
      </c>
      <c r="V298" s="49" t="str">
        <f>IF(OR(TH!L298=TH!$V$7,M298=TH!$V$7),"x","")</f>
        <v/>
      </c>
      <c r="W298" s="49" t="str">
        <f>IF(AND(B298&gt;='IN-NX'!$P$3,B298&lt;='IN-NX'!$Q$3,'IN-NX'!$D$7=D298,OR(LEFT(L298,2)="15",AND(LEFT(M298,2)&lt;&gt;"15",LEFT(M298,2)&lt;&gt;"33"))),"x","")</f>
        <v/>
      </c>
      <c r="X298" s="49" t="str">
        <f>IF(AND(OR(LEFT(TH!L298,2)="15",LEFT(TH!M298,2)="15"),'152-CT'!$J$8=TH!F298),"x","")</f>
        <v/>
      </c>
      <c r="Y298" s="49" t="str">
        <f>IF(AND(OR(LEFT(TH!L298,2)="15",LEFT(TH!M298,2)="15"),TK!$E$7=TH!F298),"x","")</f>
        <v/>
      </c>
      <c r="Z298" s="49" t="str">
        <f>IF(AND(B298&lt;=NKC!$N$8,B298&gt;=NKC!$M$8),"x","")</f>
        <v/>
      </c>
      <c r="AA298" s="723"/>
      <c r="AB298" s="497"/>
    </row>
    <row r="299" spans="1:28" s="199" customFormat="1" ht="15.75" hidden="1" customHeight="1">
      <c r="A299" s="724" t="str">
        <f>IF(B299&lt;&gt;"",IF(AND(B299&gt;=_TM1,B299&lt;=_TM2,OR(TH!L299="1111",TH!M299="1111")),TH!D299,""),"")</f>
        <v/>
      </c>
      <c r="B299" s="36">
        <f t="shared" ref="B299:B322" si="21">IF(C299&lt;&gt;"",MONTH(C299),"")</f>
        <v>12</v>
      </c>
      <c r="C299" s="185">
        <f t="shared" si="16"/>
        <v>41274</v>
      </c>
      <c r="D299" s="185" t="s">
        <v>631</v>
      </c>
      <c r="E299" s="185">
        <v>41274</v>
      </c>
      <c r="F299" s="186" t="s">
        <v>537</v>
      </c>
      <c r="G299" s="732"/>
      <c r="H299" s="187" t="s">
        <v>630</v>
      </c>
      <c r="I299" s="247">
        <v>22750</v>
      </c>
      <c r="J299" s="247">
        <v>587.46068964351389</v>
      </c>
      <c r="K299" s="505">
        <f t="shared" ref="K299:K323" si="22">ROUND(I299*J299,0)</f>
        <v>13364731</v>
      </c>
      <c r="L299" s="506" t="s">
        <v>162</v>
      </c>
      <c r="M299" s="506" t="s">
        <v>375</v>
      </c>
      <c r="N299" s="49" t="str">
        <f>IF(AND('331-CT'!$E$7=TH!H299,OR(L299="331",M299="331")),"331",IF(AND(OR(L299="131",M299="131"),H299='131-CT'!$E$7),"131",""))</f>
        <v/>
      </c>
      <c r="O299" s="49" t="str">
        <f>IF(AND($B299&gt;='111'!$N$11,$B299&lt;='111'!$O$11,OR($L299=$O$7,$M299=$O$7)),"x","")</f>
        <v/>
      </c>
      <c r="P299" s="49" t="str">
        <f>IF(AND($L299=$O$7,$B299&lt;'111'!$N$11),"x","")</f>
        <v/>
      </c>
      <c r="Q299" s="49" t="str">
        <f>IF(AND($M299=$O$7,$B299&lt;'111'!$N$11),"x","")</f>
        <v/>
      </c>
      <c r="R299" s="49" t="str">
        <f>IF(ISERROR(FIND('112'!$M$9,G299,1)),"",IF((AND(FIND('112'!$M$9,G299,1)&gt;=1,$B299&gt;='112'!$N$8,$B299&lt;='112'!$O$8,OR($L299='112'!$I$6,$M299='112'!$I$6))),"x",""))</f>
        <v/>
      </c>
      <c r="S299" s="49" t="str">
        <f>IF(ISERROR(FIND('112'!$M$9,G299,1)),"",IF((AND(LEFT(G299,2)=LEFT('112'!$M$9,2),B299&lt;'112'!$N$8,$L299='112'!$I$6)),"x",""))</f>
        <v/>
      </c>
      <c r="T299" s="49" t="str">
        <f>IF(ISERROR(FIND('112'!$M$9,G299,1)),"",IF((AND(RIGHT(G299,2)=RIGHT('112'!$M$9,2),B299&lt;'112'!$N$8,$M299='112'!$I$6)),"x",""))</f>
        <v/>
      </c>
      <c r="U299" s="49" t="str">
        <f>IF(AND(L299="154",'154'!$O$5&lt;=B299,'154'!$P$5&gt;=B299),"154",IF(AND(L299="632",'632'!$L$5&lt;=B299,'632'!$M$5&gt;=B299),"632",IF(AND(L299="642",'642'!$N$5&lt;=B299,'642'!$O$5&gt;=B299),"642",IF(AND(L299="641",'641'!$N$5&lt;=B299,'641'!$O$5&gt;=B299),"641",""))))</f>
        <v/>
      </c>
      <c r="V299" s="49" t="str">
        <f>IF(OR(TH!L299=TH!$V$7,M299=TH!$V$7),"x","")</f>
        <v/>
      </c>
      <c r="W299" s="49" t="str">
        <f>IF(AND(B299&gt;='IN-NX'!$P$3,B299&lt;='IN-NX'!$Q$3,'IN-NX'!$D$7=D299,OR(LEFT(L299,2)="15",AND(LEFT(M299,2)&lt;&gt;"15",LEFT(M299,2)&lt;&gt;"33"))),"x","")</f>
        <v/>
      </c>
      <c r="X299" s="49" t="str">
        <f>IF(AND(OR(LEFT(TH!L299,2)="15",LEFT(TH!M299,2)="15"),'152-CT'!$J$8=TH!F299),"x","")</f>
        <v/>
      </c>
      <c r="Y299" s="49" t="str">
        <f>IF(AND(OR(LEFT(TH!L299,2)="15",LEFT(TH!M299,2)="15"),TK!$E$7=TH!F299),"x","")</f>
        <v/>
      </c>
      <c r="Z299" s="49" t="str">
        <f>IF(AND(B299&lt;=NKC!$N$8,B299&gt;=NKC!$M$8),"x","")</f>
        <v/>
      </c>
      <c r="AA299" s="723"/>
      <c r="AB299" s="497"/>
    </row>
    <row r="300" spans="1:28" s="199" customFormat="1" ht="15.75" hidden="1" customHeight="1">
      <c r="A300" s="724" t="str">
        <f>IF(B300&lt;&gt;"",IF(AND(B300&gt;=_TM1,B300&lt;=_TM2,OR(TH!L300="1111",TH!M300="1111")),TH!D300,""),"")</f>
        <v/>
      </c>
      <c r="B300" s="36">
        <f t="shared" si="21"/>
        <v>12</v>
      </c>
      <c r="C300" s="185">
        <f t="shared" si="16"/>
        <v>41274</v>
      </c>
      <c r="D300" s="185" t="s">
        <v>631</v>
      </c>
      <c r="E300" s="185">
        <v>41274</v>
      </c>
      <c r="F300" s="186" t="s">
        <v>586</v>
      </c>
      <c r="G300" s="732"/>
      <c r="H300" s="187" t="s">
        <v>630</v>
      </c>
      <c r="I300" s="247">
        <v>60</v>
      </c>
      <c r="J300" s="247">
        <v>19286.278184149007</v>
      </c>
      <c r="K300" s="505">
        <f t="shared" si="22"/>
        <v>1157177</v>
      </c>
      <c r="L300" s="506" t="s">
        <v>162</v>
      </c>
      <c r="M300" s="506" t="s">
        <v>375</v>
      </c>
      <c r="N300" s="49" t="str">
        <f>IF(AND('331-CT'!$E$7=TH!H300,OR(L300="331",M300="331")),"331",IF(AND(OR(L300="131",M300="131"),H300='131-CT'!$E$7),"131",""))</f>
        <v/>
      </c>
      <c r="O300" s="49" t="str">
        <f>IF(AND($B300&gt;='111'!$N$11,$B300&lt;='111'!$O$11,OR($L300=$O$7,$M300=$O$7)),"x","")</f>
        <v/>
      </c>
      <c r="P300" s="49" t="str">
        <f>IF(AND($L300=$O$7,$B300&lt;'111'!$N$11),"x","")</f>
        <v/>
      </c>
      <c r="Q300" s="49" t="str">
        <f>IF(AND($M300=$O$7,$B300&lt;'111'!$N$11),"x","")</f>
        <v/>
      </c>
      <c r="R300" s="49" t="str">
        <f>IF(ISERROR(FIND('112'!$M$9,G300,1)),"",IF((AND(FIND('112'!$M$9,G300,1)&gt;=1,$B300&gt;='112'!$N$8,$B300&lt;='112'!$O$8,OR($L300='112'!$I$6,$M300='112'!$I$6))),"x",""))</f>
        <v/>
      </c>
      <c r="S300" s="49" t="str">
        <f>IF(ISERROR(FIND('112'!$M$9,G300,1)),"",IF((AND(LEFT(G300,2)=LEFT('112'!$M$9,2),B300&lt;'112'!$N$8,$L300='112'!$I$6)),"x",""))</f>
        <v/>
      </c>
      <c r="T300" s="49" t="str">
        <f>IF(ISERROR(FIND('112'!$M$9,G300,1)),"",IF((AND(RIGHT(G300,2)=RIGHT('112'!$M$9,2),B300&lt;'112'!$N$8,$M300='112'!$I$6)),"x",""))</f>
        <v/>
      </c>
      <c r="U300" s="49" t="str">
        <f>IF(AND(L300="154",'154'!$O$5&lt;=B300,'154'!$P$5&gt;=B300),"154",IF(AND(L300="632",'632'!$L$5&lt;=B300,'632'!$M$5&gt;=B300),"632",IF(AND(L300="642",'642'!$N$5&lt;=B300,'642'!$O$5&gt;=B300),"642",IF(AND(L300="641",'641'!$N$5&lt;=B300,'641'!$O$5&gt;=B300),"641",""))))</f>
        <v/>
      </c>
      <c r="V300" s="49" t="str">
        <f>IF(OR(TH!L300=TH!$V$7,M300=TH!$V$7),"x","")</f>
        <v/>
      </c>
      <c r="W300" s="49" t="str">
        <f>IF(AND(B300&gt;='IN-NX'!$P$3,B300&lt;='IN-NX'!$Q$3,'IN-NX'!$D$7=D300,OR(LEFT(L300,2)="15",AND(LEFT(M300,2)&lt;&gt;"15",LEFT(M300,2)&lt;&gt;"33"))),"x","")</f>
        <v/>
      </c>
      <c r="X300" s="49" t="str">
        <f>IF(AND(OR(LEFT(TH!L300,2)="15",LEFT(TH!M300,2)="15"),'152-CT'!$J$8=TH!F300),"x","")</f>
        <v>x</v>
      </c>
      <c r="Y300" s="49" t="str">
        <f>IF(AND(OR(LEFT(TH!L300,2)="15",LEFT(TH!M300,2)="15"),TK!$E$7=TH!F300),"x","")</f>
        <v/>
      </c>
      <c r="Z300" s="49" t="str">
        <f>IF(AND(B300&lt;=NKC!$N$8,B300&gt;=NKC!$M$8),"x","")</f>
        <v/>
      </c>
      <c r="AA300" s="723"/>
      <c r="AB300" s="497"/>
    </row>
    <row r="301" spans="1:28" s="199" customFormat="1" ht="15.75" hidden="1" customHeight="1">
      <c r="A301" s="724" t="str">
        <f>IF(B301&lt;&gt;"",IF(AND(B301&gt;=_TM1,B301&lt;=_TM2,OR(TH!L301="1111",TH!M301="1111")),TH!D301,""),"")</f>
        <v/>
      </c>
      <c r="B301" s="36">
        <f t="shared" si="21"/>
        <v>12</v>
      </c>
      <c r="C301" s="185">
        <f t="shared" si="16"/>
        <v>41274</v>
      </c>
      <c r="D301" s="185" t="s">
        <v>631</v>
      </c>
      <c r="E301" s="185">
        <v>41274</v>
      </c>
      <c r="F301" s="186" t="s">
        <v>545</v>
      </c>
      <c r="G301" s="732"/>
      <c r="H301" s="187" t="s">
        <v>630</v>
      </c>
      <c r="I301" s="247">
        <v>3303</v>
      </c>
      <c r="J301" s="247">
        <v>4426.2781841490087</v>
      </c>
      <c r="K301" s="505">
        <f t="shared" si="22"/>
        <v>14619997</v>
      </c>
      <c r="L301" s="506" t="s">
        <v>162</v>
      </c>
      <c r="M301" s="506" t="s">
        <v>375</v>
      </c>
      <c r="N301" s="49" t="str">
        <f>IF(AND('331-CT'!$E$7=TH!H301,OR(L301="331",M301="331")),"331",IF(AND(OR(L301="131",M301="131"),H301='131-CT'!$E$7),"131",""))</f>
        <v/>
      </c>
      <c r="O301" s="49" t="str">
        <f>IF(AND($B301&gt;='111'!$N$11,$B301&lt;='111'!$O$11,OR($L301=$O$7,$M301=$O$7)),"x","")</f>
        <v/>
      </c>
      <c r="P301" s="49" t="str">
        <f>IF(AND($L301=$O$7,$B301&lt;'111'!$N$11),"x","")</f>
        <v/>
      </c>
      <c r="Q301" s="49" t="str">
        <f>IF(AND($M301=$O$7,$B301&lt;'111'!$N$11),"x","")</f>
        <v/>
      </c>
      <c r="R301" s="49" t="str">
        <f>IF(ISERROR(FIND('112'!$M$9,G301,1)),"",IF((AND(FIND('112'!$M$9,G301,1)&gt;=1,$B301&gt;='112'!$N$8,$B301&lt;='112'!$O$8,OR($L301='112'!$I$6,$M301='112'!$I$6))),"x",""))</f>
        <v/>
      </c>
      <c r="S301" s="49" t="str">
        <f>IF(ISERROR(FIND('112'!$M$9,G301,1)),"",IF((AND(LEFT(G301,2)=LEFT('112'!$M$9,2),B301&lt;'112'!$N$8,$L301='112'!$I$6)),"x",""))</f>
        <v/>
      </c>
      <c r="T301" s="49" t="str">
        <f>IF(ISERROR(FIND('112'!$M$9,G301,1)),"",IF((AND(RIGHT(G301,2)=RIGHT('112'!$M$9,2),B301&lt;'112'!$N$8,$M301='112'!$I$6)),"x",""))</f>
        <v/>
      </c>
      <c r="U301" s="49" t="str">
        <f>IF(AND(L301="154",'154'!$O$5&lt;=B301,'154'!$P$5&gt;=B301),"154",IF(AND(L301="632",'632'!$L$5&lt;=B301,'632'!$M$5&gt;=B301),"632",IF(AND(L301="642",'642'!$N$5&lt;=B301,'642'!$O$5&gt;=B301),"642",IF(AND(L301="641",'641'!$N$5&lt;=B301,'641'!$O$5&gt;=B301),"641",""))))</f>
        <v/>
      </c>
      <c r="V301" s="49" t="str">
        <f>IF(OR(TH!L301=TH!$V$7,M301=TH!$V$7),"x","")</f>
        <v/>
      </c>
      <c r="W301" s="49" t="str">
        <f>IF(AND(B301&gt;='IN-NX'!$P$3,B301&lt;='IN-NX'!$Q$3,'IN-NX'!$D$7=D301,OR(LEFT(L301,2)="15",AND(LEFT(M301,2)&lt;&gt;"15",LEFT(M301,2)&lt;&gt;"33"))),"x","")</f>
        <v/>
      </c>
      <c r="X301" s="49" t="str">
        <f>IF(AND(OR(LEFT(TH!L301,2)="15",LEFT(TH!M301,2)="15"),'152-CT'!$J$8=TH!F301),"x","")</f>
        <v/>
      </c>
      <c r="Y301" s="49" t="str">
        <f>IF(AND(OR(LEFT(TH!L301,2)="15",LEFT(TH!M301,2)="15"),TK!$E$7=TH!F301),"x","")</f>
        <v/>
      </c>
      <c r="Z301" s="49" t="str">
        <f>IF(AND(B301&lt;=NKC!$N$8,B301&gt;=NKC!$M$8),"x","")</f>
        <v/>
      </c>
      <c r="AA301" s="723"/>
      <c r="AB301" s="497"/>
    </row>
    <row r="302" spans="1:28" s="199" customFormat="1" ht="15.75" hidden="1" customHeight="1">
      <c r="A302" s="724" t="str">
        <f>IF(B302&lt;&gt;"",IF(AND(B302&gt;=_TM1,B302&lt;=_TM2,OR(TH!L302="1111",TH!M302="1111")),TH!D302,""),"")</f>
        <v/>
      </c>
      <c r="B302" s="36">
        <f t="shared" si="21"/>
        <v>12</v>
      </c>
      <c r="C302" s="185">
        <f t="shared" si="16"/>
        <v>41274</v>
      </c>
      <c r="D302" s="185" t="s">
        <v>631</v>
      </c>
      <c r="E302" s="185">
        <v>41274</v>
      </c>
      <c r="F302" s="186" t="s">
        <v>569</v>
      </c>
      <c r="G302" s="732"/>
      <c r="H302" s="187" t="s">
        <v>630</v>
      </c>
      <c r="I302" s="247">
        <v>800</v>
      </c>
      <c r="J302" s="247">
        <v>5942.2781841490096</v>
      </c>
      <c r="K302" s="505">
        <f t="shared" si="22"/>
        <v>4753823</v>
      </c>
      <c r="L302" s="506" t="s">
        <v>162</v>
      </c>
      <c r="M302" s="506" t="s">
        <v>375</v>
      </c>
      <c r="N302" s="49" t="str">
        <f>IF(AND('331-CT'!$E$7=TH!H302,OR(L302="331",M302="331")),"331",IF(AND(OR(L302="131",M302="131"),H302='131-CT'!$E$7),"131",""))</f>
        <v/>
      </c>
      <c r="O302" s="49" t="str">
        <f>IF(AND($B302&gt;='111'!$N$11,$B302&lt;='111'!$O$11,OR($L302=$O$7,$M302=$O$7)),"x","")</f>
        <v/>
      </c>
      <c r="P302" s="49" t="str">
        <f>IF(AND($L302=$O$7,$B302&lt;'111'!$N$11),"x","")</f>
        <v/>
      </c>
      <c r="Q302" s="49" t="str">
        <f>IF(AND($M302=$O$7,$B302&lt;'111'!$N$11),"x","")</f>
        <v/>
      </c>
      <c r="R302" s="49" t="str">
        <f>IF(ISERROR(FIND('112'!$M$9,G302,1)),"",IF((AND(FIND('112'!$M$9,G302,1)&gt;=1,$B302&gt;='112'!$N$8,$B302&lt;='112'!$O$8,OR($L302='112'!$I$6,$M302='112'!$I$6))),"x",""))</f>
        <v/>
      </c>
      <c r="S302" s="49" t="str">
        <f>IF(ISERROR(FIND('112'!$M$9,G302,1)),"",IF((AND(LEFT(G302,2)=LEFT('112'!$M$9,2),B302&lt;'112'!$N$8,$L302='112'!$I$6)),"x",""))</f>
        <v/>
      </c>
      <c r="T302" s="49" t="str">
        <f>IF(ISERROR(FIND('112'!$M$9,G302,1)),"",IF((AND(RIGHT(G302,2)=RIGHT('112'!$M$9,2),B302&lt;'112'!$N$8,$M302='112'!$I$6)),"x",""))</f>
        <v/>
      </c>
      <c r="U302" s="49" t="str">
        <f>IF(AND(L302="154",'154'!$O$5&lt;=B302,'154'!$P$5&gt;=B302),"154",IF(AND(L302="632",'632'!$L$5&lt;=B302,'632'!$M$5&gt;=B302),"632",IF(AND(L302="642",'642'!$N$5&lt;=B302,'642'!$O$5&gt;=B302),"642",IF(AND(L302="641",'641'!$N$5&lt;=B302,'641'!$O$5&gt;=B302),"641",""))))</f>
        <v/>
      </c>
      <c r="V302" s="49" t="str">
        <f>IF(OR(TH!L302=TH!$V$7,M302=TH!$V$7),"x","")</f>
        <v/>
      </c>
      <c r="W302" s="49" t="str">
        <f>IF(AND(B302&gt;='IN-NX'!$P$3,B302&lt;='IN-NX'!$Q$3,'IN-NX'!$D$7=D302,OR(LEFT(L302,2)="15",AND(LEFT(M302,2)&lt;&gt;"15",LEFT(M302,2)&lt;&gt;"33"))),"x","")</f>
        <v/>
      </c>
      <c r="X302" s="49" t="str">
        <f>IF(AND(OR(LEFT(TH!L302,2)="15",LEFT(TH!M302,2)="15"),'152-CT'!$J$8=TH!F302),"x","")</f>
        <v/>
      </c>
      <c r="Y302" s="49" t="str">
        <f>IF(AND(OR(LEFT(TH!L302,2)="15",LEFT(TH!M302,2)="15"),TK!$E$7=TH!F302),"x","")</f>
        <v/>
      </c>
      <c r="Z302" s="49" t="str">
        <f>IF(AND(B302&lt;=NKC!$N$8,B302&gt;=NKC!$M$8),"x","")</f>
        <v/>
      </c>
      <c r="AA302" s="723"/>
      <c r="AB302" s="497"/>
    </row>
    <row r="303" spans="1:28" s="199" customFormat="1" ht="15.75" hidden="1" customHeight="1">
      <c r="A303" s="724" t="str">
        <f>IF(B303&lt;&gt;"",IF(AND(B303&gt;=_TM1,B303&lt;=_TM2,OR(TH!L303="1111",TH!M303="1111")),TH!D303,""),"")</f>
        <v/>
      </c>
      <c r="B303" s="36">
        <f t="shared" si="21"/>
        <v>12</v>
      </c>
      <c r="C303" s="185">
        <f t="shared" si="16"/>
        <v>41274</v>
      </c>
      <c r="D303" s="185" t="s">
        <v>631</v>
      </c>
      <c r="E303" s="185">
        <v>41274</v>
      </c>
      <c r="F303" s="186" t="s">
        <v>581</v>
      </c>
      <c r="G303" s="732"/>
      <c r="H303" s="187" t="s">
        <v>630</v>
      </c>
      <c r="I303" s="247">
        <v>100</v>
      </c>
      <c r="J303" s="247">
        <v>13196.278184149007</v>
      </c>
      <c r="K303" s="505">
        <f t="shared" si="22"/>
        <v>1319628</v>
      </c>
      <c r="L303" s="506" t="s">
        <v>162</v>
      </c>
      <c r="M303" s="506" t="s">
        <v>375</v>
      </c>
      <c r="N303" s="49" t="str">
        <f>IF(AND('331-CT'!$E$7=TH!H303,OR(L303="331",M303="331")),"331",IF(AND(OR(L303="131",M303="131"),H303='131-CT'!$E$7),"131",""))</f>
        <v/>
      </c>
      <c r="O303" s="49" t="str">
        <f>IF(AND($B303&gt;='111'!$N$11,$B303&lt;='111'!$O$11,OR($L303=$O$7,$M303=$O$7)),"x","")</f>
        <v/>
      </c>
      <c r="P303" s="49" t="str">
        <f>IF(AND($L303=$O$7,$B303&lt;'111'!$N$11),"x","")</f>
        <v/>
      </c>
      <c r="Q303" s="49" t="str">
        <f>IF(AND($M303=$O$7,$B303&lt;'111'!$N$11),"x","")</f>
        <v/>
      </c>
      <c r="R303" s="49" t="str">
        <f>IF(ISERROR(FIND('112'!$M$9,G303,1)),"",IF((AND(FIND('112'!$M$9,G303,1)&gt;=1,$B303&gt;='112'!$N$8,$B303&lt;='112'!$O$8,OR($L303='112'!$I$6,$M303='112'!$I$6))),"x",""))</f>
        <v/>
      </c>
      <c r="S303" s="49" t="str">
        <f>IF(ISERROR(FIND('112'!$M$9,G303,1)),"",IF((AND(LEFT(G303,2)=LEFT('112'!$M$9,2),B303&lt;'112'!$N$8,$L303='112'!$I$6)),"x",""))</f>
        <v/>
      </c>
      <c r="T303" s="49" t="str">
        <f>IF(ISERROR(FIND('112'!$M$9,G303,1)),"",IF((AND(RIGHT(G303,2)=RIGHT('112'!$M$9,2),B303&lt;'112'!$N$8,$M303='112'!$I$6)),"x",""))</f>
        <v/>
      </c>
      <c r="U303" s="49" t="str">
        <f>IF(AND(L303="154",'154'!$O$5&lt;=B303,'154'!$P$5&gt;=B303),"154",IF(AND(L303="632",'632'!$L$5&lt;=B303,'632'!$M$5&gt;=B303),"632",IF(AND(L303="642",'642'!$N$5&lt;=B303,'642'!$O$5&gt;=B303),"642",IF(AND(L303="641",'641'!$N$5&lt;=B303,'641'!$O$5&gt;=B303),"641",""))))</f>
        <v/>
      </c>
      <c r="V303" s="49" t="str">
        <f>IF(OR(TH!L303=TH!$V$7,M303=TH!$V$7),"x","")</f>
        <v/>
      </c>
      <c r="W303" s="49" t="str">
        <f>IF(AND(B303&gt;='IN-NX'!$P$3,B303&lt;='IN-NX'!$Q$3,'IN-NX'!$D$7=D303,OR(LEFT(L303,2)="15",AND(LEFT(M303,2)&lt;&gt;"15",LEFT(M303,2)&lt;&gt;"33"))),"x","")</f>
        <v/>
      </c>
      <c r="X303" s="49" t="str">
        <f>IF(AND(OR(LEFT(TH!L303,2)="15",LEFT(TH!M303,2)="15"),'152-CT'!$J$8=TH!F303),"x","")</f>
        <v/>
      </c>
      <c r="Y303" s="49" t="str">
        <f>IF(AND(OR(LEFT(TH!L303,2)="15",LEFT(TH!M303,2)="15"),TK!$E$7=TH!F303),"x","")</f>
        <v/>
      </c>
      <c r="Z303" s="49" t="str">
        <f>IF(AND(B303&lt;=NKC!$N$8,B303&gt;=NKC!$M$8),"x","")</f>
        <v/>
      </c>
      <c r="AA303" s="723"/>
      <c r="AB303" s="497"/>
    </row>
    <row r="304" spans="1:28" s="199" customFormat="1" ht="15.75" hidden="1" customHeight="1">
      <c r="A304" s="724" t="str">
        <f>IF(B304&lt;&gt;"",IF(AND(B304&gt;=_TM1,B304&lt;=_TM2,OR(TH!L304="1111",TH!M304="1111")),TH!D304,""),"")</f>
        <v/>
      </c>
      <c r="B304" s="36">
        <f t="shared" si="21"/>
        <v>12</v>
      </c>
      <c r="C304" s="185">
        <f t="shared" si="16"/>
        <v>41274</v>
      </c>
      <c r="D304" s="185" t="s">
        <v>631</v>
      </c>
      <c r="E304" s="185">
        <v>41274</v>
      </c>
      <c r="F304" s="186" t="s">
        <v>584</v>
      </c>
      <c r="G304" s="732"/>
      <c r="H304" s="187" t="s">
        <v>630</v>
      </c>
      <c r="I304" s="247">
        <v>40</v>
      </c>
      <c r="J304" s="247">
        <v>13196.27818414901</v>
      </c>
      <c r="K304" s="505">
        <f t="shared" si="22"/>
        <v>527851</v>
      </c>
      <c r="L304" s="506" t="s">
        <v>162</v>
      </c>
      <c r="M304" s="506" t="s">
        <v>375</v>
      </c>
      <c r="N304" s="49" t="str">
        <f>IF(AND('331-CT'!$E$7=TH!H304,OR(L304="331",M304="331")),"331",IF(AND(OR(L304="131",M304="131"),H304='131-CT'!$E$7),"131",""))</f>
        <v/>
      </c>
      <c r="O304" s="49" t="str">
        <f>IF(AND($B304&gt;='111'!$N$11,$B304&lt;='111'!$O$11,OR($L304=$O$7,$M304=$O$7)),"x","")</f>
        <v/>
      </c>
      <c r="P304" s="49" t="str">
        <f>IF(AND($L304=$O$7,$B304&lt;'111'!$N$11),"x","")</f>
        <v/>
      </c>
      <c r="Q304" s="49" t="str">
        <f>IF(AND($M304=$O$7,$B304&lt;'111'!$N$11),"x","")</f>
        <v/>
      </c>
      <c r="R304" s="49" t="str">
        <f>IF(ISERROR(FIND('112'!$M$9,G304,1)),"",IF((AND(FIND('112'!$M$9,G304,1)&gt;=1,$B304&gt;='112'!$N$8,$B304&lt;='112'!$O$8,OR($L304='112'!$I$6,$M304='112'!$I$6))),"x",""))</f>
        <v/>
      </c>
      <c r="S304" s="49" t="str">
        <f>IF(ISERROR(FIND('112'!$M$9,G304,1)),"",IF((AND(LEFT(G304,2)=LEFT('112'!$M$9,2),B304&lt;'112'!$N$8,$L304='112'!$I$6)),"x",""))</f>
        <v/>
      </c>
      <c r="T304" s="49" t="str">
        <f>IF(ISERROR(FIND('112'!$M$9,G304,1)),"",IF((AND(RIGHT(G304,2)=RIGHT('112'!$M$9,2),B304&lt;'112'!$N$8,$M304='112'!$I$6)),"x",""))</f>
        <v/>
      </c>
      <c r="U304" s="49" t="str">
        <f>IF(AND(L304="154",'154'!$O$5&lt;=B304,'154'!$P$5&gt;=B304),"154",IF(AND(L304="632",'632'!$L$5&lt;=B304,'632'!$M$5&gt;=B304),"632",IF(AND(L304="642",'642'!$N$5&lt;=B304,'642'!$O$5&gt;=B304),"642",IF(AND(L304="641",'641'!$N$5&lt;=B304,'641'!$O$5&gt;=B304),"641",""))))</f>
        <v/>
      </c>
      <c r="V304" s="49" t="str">
        <f>IF(OR(TH!L304=TH!$V$7,M304=TH!$V$7),"x","")</f>
        <v/>
      </c>
      <c r="W304" s="49" t="str">
        <f>IF(AND(B304&gt;='IN-NX'!$P$3,B304&lt;='IN-NX'!$Q$3,'IN-NX'!$D$7=D304,OR(LEFT(L304,2)="15",AND(LEFT(M304,2)&lt;&gt;"15",LEFT(M304,2)&lt;&gt;"33"))),"x","")</f>
        <v/>
      </c>
      <c r="X304" s="49" t="str">
        <f>IF(AND(OR(LEFT(TH!L304,2)="15",LEFT(TH!M304,2)="15"),'152-CT'!$J$8=TH!F304),"x","")</f>
        <v/>
      </c>
      <c r="Y304" s="49" t="str">
        <f>IF(AND(OR(LEFT(TH!L304,2)="15",LEFT(TH!M304,2)="15"),TK!$E$7=TH!F304),"x","")</f>
        <v/>
      </c>
      <c r="Z304" s="49" t="str">
        <f>IF(AND(B304&lt;=NKC!$N$8,B304&gt;=NKC!$M$8),"x","")</f>
        <v/>
      </c>
      <c r="AA304" s="723"/>
      <c r="AB304" s="497"/>
    </row>
    <row r="305" spans="1:28" s="199" customFormat="1" ht="15.75" hidden="1" customHeight="1">
      <c r="A305" s="724" t="str">
        <f>IF(B305&lt;&gt;"",IF(AND(B305&gt;=_TM1,B305&lt;=_TM2,OR(TH!L305="1111",TH!M305="1111")),TH!D305,""),"")</f>
        <v/>
      </c>
      <c r="B305" s="36">
        <f t="shared" si="21"/>
        <v>12</v>
      </c>
      <c r="C305" s="185">
        <f t="shared" ref="C305:C323" si="23">E305</f>
        <v>41274</v>
      </c>
      <c r="D305" s="185" t="s">
        <v>631</v>
      </c>
      <c r="E305" s="185">
        <v>41274</v>
      </c>
      <c r="F305" s="186" t="s">
        <v>582</v>
      </c>
      <c r="G305" s="732"/>
      <c r="H305" s="187" t="s">
        <v>630</v>
      </c>
      <c r="I305" s="247">
        <v>180</v>
      </c>
      <c r="J305" s="247">
        <v>13196.278184149009</v>
      </c>
      <c r="K305" s="505">
        <f t="shared" si="22"/>
        <v>2375330</v>
      </c>
      <c r="L305" s="506" t="s">
        <v>162</v>
      </c>
      <c r="M305" s="506" t="s">
        <v>375</v>
      </c>
      <c r="N305" s="49" t="str">
        <f>IF(AND('331-CT'!$E$7=TH!H305,OR(L305="331",M305="331")),"331",IF(AND(OR(L305="131",M305="131"),H305='131-CT'!$E$7),"131",""))</f>
        <v/>
      </c>
      <c r="O305" s="49" t="str">
        <f>IF(AND($B305&gt;='111'!$N$11,$B305&lt;='111'!$O$11,OR($L305=$O$7,$M305=$O$7)),"x","")</f>
        <v/>
      </c>
      <c r="P305" s="49" t="str">
        <f>IF(AND($L305=$O$7,$B305&lt;'111'!$N$11),"x","")</f>
        <v/>
      </c>
      <c r="Q305" s="49" t="str">
        <f>IF(AND($M305=$O$7,$B305&lt;'111'!$N$11),"x","")</f>
        <v/>
      </c>
      <c r="R305" s="49" t="str">
        <f>IF(ISERROR(FIND('112'!$M$9,G305,1)),"",IF((AND(FIND('112'!$M$9,G305,1)&gt;=1,$B305&gt;='112'!$N$8,$B305&lt;='112'!$O$8,OR($L305='112'!$I$6,$M305='112'!$I$6))),"x",""))</f>
        <v/>
      </c>
      <c r="S305" s="49" t="str">
        <f>IF(ISERROR(FIND('112'!$M$9,G305,1)),"",IF((AND(LEFT(G305,2)=LEFT('112'!$M$9,2),B305&lt;'112'!$N$8,$L305='112'!$I$6)),"x",""))</f>
        <v/>
      </c>
      <c r="T305" s="49" t="str">
        <f>IF(ISERROR(FIND('112'!$M$9,G305,1)),"",IF((AND(RIGHT(G305,2)=RIGHT('112'!$M$9,2),B305&lt;'112'!$N$8,$M305='112'!$I$6)),"x",""))</f>
        <v/>
      </c>
      <c r="U305" s="49" t="str">
        <f>IF(AND(L305="154",'154'!$O$5&lt;=B305,'154'!$P$5&gt;=B305),"154",IF(AND(L305="632",'632'!$L$5&lt;=B305,'632'!$M$5&gt;=B305),"632",IF(AND(L305="642",'642'!$N$5&lt;=B305,'642'!$O$5&gt;=B305),"642",IF(AND(L305="641",'641'!$N$5&lt;=B305,'641'!$O$5&gt;=B305),"641",""))))</f>
        <v/>
      </c>
      <c r="V305" s="49" t="str">
        <f>IF(OR(TH!L305=TH!$V$7,M305=TH!$V$7),"x","")</f>
        <v/>
      </c>
      <c r="W305" s="49" t="str">
        <f>IF(AND(B305&gt;='IN-NX'!$P$3,B305&lt;='IN-NX'!$Q$3,'IN-NX'!$D$7=D305,OR(LEFT(L305,2)="15",AND(LEFT(M305,2)&lt;&gt;"15",LEFT(M305,2)&lt;&gt;"33"))),"x","")</f>
        <v/>
      </c>
      <c r="X305" s="49" t="str">
        <f>IF(AND(OR(LEFT(TH!L305,2)="15",LEFT(TH!M305,2)="15"),'152-CT'!$J$8=TH!F305),"x","")</f>
        <v/>
      </c>
      <c r="Y305" s="49" t="str">
        <f>IF(AND(OR(LEFT(TH!L305,2)="15",LEFT(TH!M305,2)="15"),TK!$E$7=TH!F305),"x","")</f>
        <v/>
      </c>
      <c r="Z305" s="49" t="str">
        <f>IF(AND(B305&lt;=NKC!$N$8,B305&gt;=NKC!$M$8),"x","")</f>
        <v/>
      </c>
      <c r="AA305" s="723"/>
      <c r="AB305" s="497"/>
    </row>
    <row r="306" spans="1:28" s="199" customFormat="1" ht="15.75" hidden="1" customHeight="1">
      <c r="A306" s="724" t="str">
        <f>IF(B306&lt;&gt;"",IF(AND(B306&gt;=_TM1,B306&lt;=_TM2,OR(TH!L306="1111",TH!M306="1111")),TH!D306,""),"")</f>
        <v/>
      </c>
      <c r="B306" s="36">
        <f t="shared" si="21"/>
        <v>12</v>
      </c>
      <c r="C306" s="185">
        <f t="shared" si="23"/>
        <v>41274</v>
      </c>
      <c r="D306" s="185" t="s">
        <v>631</v>
      </c>
      <c r="E306" s="185">
        <v>41274</v>
      </c>
      <c r="F306" s="186" t="s">
        <v>579</v>
      </c>
      <c r="G306" s="732"/>
      <c r="H306" s="187" t="s">
        <v>630</v>
      </c>
      <c r="I306" s="247">
        <v>180</v>
      </c>
      <c r="J306" s="247">
        <v>13196.278184149009</v>
      </c>
      <c r="K306" s="505">
        <f t="shared" si="22"/>
        <v>2375330</v>
      </c>
      <c r="L306" s="506" t="s">
        <v>162</v>
      </c>
      <c r="M306" s="506" t="s">
        <v>375</v>
      </c>
      <c r="N306" s="49" t="str">
        <f>IF(AND('331-CT'!$E$7=TH!H306,OR(L306="331",M306="331")),"331",IF(AND(OR(L306="131",M306="131"),H306='131-CT'!$E$7),"131",""))</f>
        <v/>
      </c>
      <c r="O306" s="49" t="str">
        <f>IF(AND($B306&gt;='111'!$N$11,$B306&lt;='111'!$O$11,OR($L306=$O$7,$M306=$O$7)),"x","")</f>
        <v/>
      </c>
      <c r="P306" s="49" t="str">
        <f>IF(AND($L306=$O$7,$B306&lt;'111'!$N$11),"x","")</f>
        <v/>
      </c>
      <c r="Q306" s="49" t="str">
        <f>IF(AND($M306=$O$7,$B306&lt;'111'!$N$11),"x","")</f>
        <v/>
      </c>
      <c r="R306" s="49" t="str">
        <f>IF(ISERROR(FIND('112'!$M$9,G306,1)),"",IF((AND(FIND('112'!$M$9,G306,1)&gt;=1,$B306&gt;='112'!$N$8,$B306&lt;='112'!$O$8,OR($L306='112'!$I$6,$M306='112'!$I$6))),"x",""))</f>
        <v/>
      </c>
      <c r="S306" s="49" t="str">
        <f>IF(ISERROR(FIND('112'!$M$9,G306,1)),"",IF((AND(LEFT(G306,2)=LEFT('112'!$M$9,2),B306&lt;'112'!$N$8,$L306='112'!$I$6)),"x",""))</f>
        <v/>
      </c>
      <c r="T306" s="49" t="str">
        <f>IF(ISERROR(FIND('112'!$M$9,G306,1)),"",IF((AND(RIGHT(G306,2)=RIGHT('112'!$M$9,2),B306&lt;'112'!$N$8,$M306='112'!$I$6)),"x",""))</f>
        <v/>
      </c>
      <c r="U306" s="49" t="str">
        <f>IF(AND(L306="154",'154'!$O$5&lt;=B306,'154'!$P$5&gt;=B306),"154",IF(AND(L306="632",'632'!$L$5&lt;=B306,'632'!$M$5&gt;=B306),"632",IF(AND(L306="642",'642'!$N$5&lt;=B306,'642'!$O$5&gt;=B306),"642",IF(AND(L306="641",'641'!$N$5&lt;=B306,'641'!$O$5&gt;=B306),"641",""))))</f>
        <v/>
      </c>
      <c r="V306" s="49" t="str">
        <f>IF(OR(TH!L306=TH!$V$7,M306=TH!$V$7),"x","")</f>
        <v/>
      </c>
      <c r="W306" s="49" t="str">
        <f>IF(AND(B306&gt;='IN-NX'!$P$3,B306&lt;='IN-NX'!$Q$3,'IN-NX'!$D$7=D306,OR(LEFT(L306,2)="15",AND(LEFT(M306,2)&lt;&gt;"15",LEFT(M306,2)&lt;&gt;"33"))),"x","")</f>
        <v/>
      </c>
      <c r="X306" s="49" t="str">
        <f>IF(AND(OR(LEFT(TH!L306,2)="15",LEFT(TH!M306,2)="15"),'152-CT'!$J$8=TH!F306),"x","")</f>
        <v/>
      </c>
      <c r="Y306" s="49" t="str">
        <f>IF(AND(OR(LEFT(TH!L306,2)="15",LEFT(TH!M306,2)="15"),TK!$E$7=TH!F306),"x","")</f>
        <v/>
      </c>
      <c r="Z306" s="49" t="str">
        <f>IF(AND(B306&lt;=NKC!$N$8,B306&gt;=NKC!$M$8),"x","")</f>
        <v/>
      </c>
      <c r="AA306" s="723"/>
      <c r="AB306" s="497"/>
    </row>
    <row r="307" spans="1:28" s="199" customFormat="1" ht="15.75" hidden="1" customHeight="1">
      <c r="A307" s="724" t="str">
        <f>IF(B307&lt;&gt;"",IF(AND(B307&gt;=_TM1,B307&lt;=_TM2,OR(TH!L307="1111",TH!M307="1111")),TH!D307,""),"")</f>
        <v/>
      </c>
      <c r="B307" s="36">
        <f t="shared" si="21"/>
        <v>12</v>
      </c>
      <c r="C307" s="185">
        <f t="shared" si="23"/>
        <v>41274</v>
      </c>
      <c r="D307" s="185" t="s">
        <v>631</v>
      </c>
      <c r="E307" s="185">
        <v>41274</v>
      </c>
      <c r="F307" s="186" t="s">
        <v>543</v>
      </c>
      <c r="G307" s="732"/>
      <c r="H307" s="187" t="s">
        <v>630</v>
      </c>
      <c r="I307" s="247">
        <v>1010</v>
      </c>
      <c r="J307" s="247">
        <v>6238.2781841490087</v>
      </c>
      <c r="K307" s="505">
        <f t="shared" si="22"/>
        <v>6300661</v>
      </c>
      <c r="L307" s="506" t="s">
        <v>162</v>
      </c>
      <c r="M307" s="506" t="s">
        <v>375</v>
      </c>
      <c r="N307" s="49" t="str">
        <f>IF(AND('331-CT'!$E$7=TH!H307,OR(L307="331",M307="331")),"331",IF(AND(OR(L307="131",M307="131"),H307='131-CT'!$E$7),"131",""))</f>
        <v/>
      </c>
      <c r="O307" s="49" t="str">
        <f>IF(AND($B307&gt;='111'!$N$11,$B307&lt;='111'!$O$11,OR($L307=$O$7,$M307=$O$7)),"x","")</f>
        <v/>
      </c>
      <c r="P307" s="49" t="str">
        <f>IF(AND($L307=$O$7,$B307&lt;'111'!$N$11),"x","")</f>
        <v/>
      </c>
      <c r="Q307" s="49" t="str">
        <f>IF(AND($M307=$O$7,$B307&lt;'111'!$N$11),"x","")</f>
        <v/>
      </c>
      <c r="R307" s="49" t="str">
        <f>IF(ISERROR(FIND('112'!$M$9,G307,1)),"",IF((AND(FIND('112'!$M$9,G307,1)&gt;=1,$B307&gt;='112'!$N$8,$B307&lt;='112'!$O$8,OR($L307='112'!$I$6,$M307='112'!$I$6))),"x",""))</f>
        <v/>
      </c>
      <c r="S307" s="49" t="str">
        <f>IF(ISERROR(FIND('112'!$M$9,G307,1)),"",IF((AND(LEFT(G307,2)=LEFT('112'!$M$9,2),B307&lt;'112'!$N$8,$L307='112'!$I$6)),"x",""))</f>
        <v/>
      </c>
      <c r="T307" s="49" t="str">
        <f>IF(ISERROR(FIND('112'!$M$9,G307,1)),"",IF((AND(RIGHT(G307,2)=RIGHT('112'!$M$9,2),B307&lt;'112'!$N$8,$M307='112'!$I$6)),"x",""))</f>
        <v/>
      </c>
      <c r="U307" s="49" t="str">
        <f>IF(AND(L307="154",'154'!$O$5&lt;=B307,'154'!$P$5&gt;=B307),"154",IF(AND(L307="632",'632'!$L$5&lt;=B307,'632'!$M$5&gt;=B307),"632",IF(AND(L307="642",'642'!$N$5&lt;=B307,'642'!$O$5&gt;=B307),"642",IF(AND(L307="641",'641'!$N$5&lt;=B307,'641'!$O$5&gt;=B307),"641",""))))</f>
        <v/>
      </c>
      <c r="V307" s="49" t="str">
        <f>IF(OR(TH!L307=TH!$V$7,M307=TH!$V$7),"x","")</f>
        <v/>
      </c>
      <c r="W307" s="49" t="str">
        <f>IF(AND(B307&gt;='IN-NX'!$P$3,B307&lt;='IN-NX'!$Q$3,'IN-NX'!$D$7=D307,OR(LEFT(L307,2)="15",AND(LEFT(M307,2)&lt;&gt;"15",LEFT(M307,2)&lt;&gt;"33"))),"x","")</f>
        <v/>
      </c>
      <c r="X307" s="49" t="str">
        <f>IF(AND(OR(LEFT(TH!L307,2)="15",LEFT(TH!M307,2)="15"),'152-CT'!$J$8=TH!F307),"x","")</f>
        <v/>
      </c>
      <c r="Y307" s="49" t="str">
        <f>IF(AND(OR(LEFT(TH!L307,2)="15",LEFT(TH!M307,2)="15"),TK!$E$7=TH!F307),"x","")</f>
        <v/>
      </c>
      <c r="Z307" s="49" t="str">
        <f>IF(AND(B307&lt;=NKC!$N$8,B307&gt;=NKC!$M$8),"x","")</f>
        <v/>
      </c>
      <c r="AA307" s="723"/>
      <c r="AB307" s="497"/>
    </row>
    <row r="308" spans="1:28" s="199" customFormat="1" ht="15.75" hidden="1" customHeight="1">
      <c r="A308" s="724" t="str">
        <f>IF(B308&lt;&gt;"",IF(AND(B308&gt;=_TM1,B308&lt;=_TM2,OR(TH!L308="1111",TH!M308="1111")),TH!D308,""),"")</f>
        <v/>
      </c>
      <c r="B308" s="36">
        <f t="shared" si="21"/>
        <v>12</v>
      </c>
      <c r="C308" s="185">
        <f t="shared" si="23"/>
        <v>41274</v>
      </c>
      <c r="D308" s="185" t="s">
        <v>631</v>
      </c>
      <c r="E308" s="185">
        <v>41274</v>
      </c>
      <c r="F308" s="186" t="s">
        <v>541</v>
      </c>
      <c r="G308" s="732"/>
      <c r="H308" s="187" t="s">
        <v>630</v>
      </c>
      <c r="I308" s="247">
        <v>3104</v>
      </c>
      <c r="J308" s="247">
        <v>5517.4772820871531</v>
      </c>
      <c r="K308" s="505">
        <f t="shared" si="22"/>
        <v>17126249</v>
      </c>
      <c r="L308" s="506" t="s">
        <v>162</v>
      </c>
      <c r="M308" s="506" t="s">
        <v>375</v>
      </c>
      <c r="N308" s="49" t="str">
        <f>IF(AND('331-CT'!$E$7=TH!H308,OR(L308="331",M308="331")),"331",IF(AND(OR(L308="131",M308="131"),H308='131-CT'!$E$7),"131",""))</f>
        <v/>
      </c>
      <c r="O308" s="49" t="str">
        <f>IF(AND($B308&gt;='111'!$N$11,$B308&lt;='111'!$O$11,OR($L308=$O$7,$M308=$O$7)),"x","")</f>
        <v/>
      </c>
      <c r="P308" s="49" t="str">
        <f>IF(AND($L308=$O$7,$B308&lt;'111'!$N$11),"x","")</f>
        <v/>
      </c>
      <c r="Q308" s="49" t="str">
        <f>IF(AND($M308=$O$7,$B308&lt;'111'!$N$11),"x","")</f>
        <v/>
      </c>
      <c r="R308" s="49" t="str">
        <f>IF(ISERROR(FIND('112'!$M$9,G308,1)),"",IF((AND(FIND('112'!$M$9,G308,1)&gt;=1,$B308&gt;='112'!$N$8,$B308&lt;='112'!$O$8,OR($L308='112'!$I$6,$M308='112'!$I$6))),"x",""))</f>
        <v/>
      </c>
      <c r="S308" s="49" t="str">
        <f>IF(ISERROR(FIND('112'!$M$9,G308,1)),"",IF((AND(LEFT(G308,2)=LEFT('112'!$M$9,2),B308&lt;'112'!$N$8,$L308='112'!$I$6)),"x",""))</f>
        <v/>
      </c>
      <c r="T308" s="49" t="str">
        <f>IF(ISERROR(FIND('112'!$M$9,G308,1)),"",IF((AND(RIGHT(G308,2)=RIGHT('112'!$M$9,2),B308&lt;'112'!$N$8,$M308='112'!$I$6)),"x",""))</f>
        <v/>
      </c>
      <c r="U308" s="49" t="str">
        <f>IF(AND(L308="154",'154'!$O$5&lt;=B308,'154'!$P$5&gt;=B308),"154",IF(AND(L308="632",'632'!$L$5&lt;=B308,'632'!$M$5&gt;=B308),"632",IF(AND(L308="642",'642'!$N$5&lt;=B308,'642'!$O$5&gt;=B308),"642",IF(AND(L308="641",'641'!$N$5&lt;=B308,'641'!$O$5&gt;=B308),"641",""))))</f>
        <v/>
      </c>
      <c r="V308" s="49" t="str">
        <f>IF(OR(TH!L308=TH!$V$7,M308=TH!$V$7),"x","")</f>
        <v/>
      </c>
      <c r="W308" s="49" t="str">
        <f>IF(AND(B308&gt;='IN-NX'!$P$3,B308&lt;='IN-NX'!$Q$3,'IN-NX'!$D$7=D308,OR(LEFT(L308,2)="15",AND(LEFT(M308,2)&lt;&gt;"15",LEFT(M308,2)&lt;&gt;"33"))),"x","")</f>
        <v/>
      </c>
      <c r="X308" s="49" t="str">
        <f>IF(AND(OR(LEFT(TH!L308,2)="15",LEFT(TH!M308,2)="15"),'152-CT'!$J$8=TH!F308),"x","")</f>
        <v/>
      </c>
      <c r="Y308" s="49" t="str">
        <f>IF(AND(OR(LEFT(TH!L308,2)="15",LEFT(TH!M308,2)="15"),TK!$E$7=TH!F308),"x","")</f>
        <v/>
      </c>
      <c r="Z308" s="49" t="str">
        <f>IF(AND(B308&lt;=NKC!$N$8,B308&gt;=NKC!$M$8),"x","")</f>
        <v/>
      </c>
      <c r="AA308" s="723"/>
      <c r="AB308" s="497"/>
    </row>
    <row r="309" spans="1:28" s="199" customFormat="1" ht="15.75" hidden="1" customHeight="1">
      <c r="A309" s="724" t="str">
        <f>IF(B309&lt;&gt;"",IF(AND(B309&gt;=_TM1,B309&lt;=_TM2,OR(TH!L309="1111",TH!M309="1111")),TH!D309,""),"")</f>
        <v/>
      </c>
      <c r="B309" s="36">
        <f t="shared" si="21"/>
        <v>12</v>
      </c>
      <c r="C309" s="185">
        <f t="shared" si="23"/>
        <v>41274</v>
      </c>
      <c r="D309" s="185" t="s">
        <v>631</v>
      </c>
      <c r="E309" s="185">
        <v>41274</v>
      </c>
      <c r="F309" s="186" t="s">
        <v>549</v>
      </c>
      <c r="G309" s="732"/>
      <c r="H309" s="187" t="s">
        <v>630</v>
      </c>
      <c r="I309" s="247">
        <v>2820</v>
      </c>
      <c r="J309" s="247">
        <v>5640.0228650000727</v>
      </c>
      <c r="K309" s="505">
        <f t="shared" si="22"/>
        <v>15904864</v>
      </c>
      <c r="L309" s="506" t="s">
        <v>162</v>
      </c>
      <c r="M309" s="506" t="s">
        <v>375</v>
      </c>
      <c r="N309" s="49" t="str">
        <f>IF(AND('331-CT'!$E$7=TH!H309,OR(L309="331",M309="331")),"331",IF(AND(OR(L309="131",M309="131"),H309='131-CT'!$E$7),"131",""))</f>
        <v/>
      </c>
      <c r="O309" s="49" t="str">
        <f>IF(AND($B309&gt;='111'!$N$11,$B309&lt;='111'!$O$11,OR($L309=$O$7,$M309=$O$7)),"x","")</f>
        <v/>
      </c>
      <c r="P309" s="49" t="str">
        <f>IF(AND($L309=$O$7,$B309&lt;'111'!$N$11),"x","")</f>
        <v/>
      </c>
      <c r="Q309" s="49" t="str">
        <f>IF(AND($M309=$O$7,$B309&lt;'111'!$N$11),"x","")</f>
        <v/>
      </c>
      <c r="R309" s="49" t="str">
        <f>IF(ISERROR(FIND('112'!$M$9,G309,1)),"",IF((AND(FIND('112'!$M$9,G309,1)&gt;=1,$B309&gt;='112'!$N$8,$B309&lt;='112'!$O$8,OR($L309='112'!$I$6,$M309='112'!$I$6))),"x",""))</f>
        <v/>
      </c>
      <c r="S309" s="49" t="str">
        <f>IF(ISERROR(FIND('112'!$M$9,G309,1)),"",IF((AND(LEFT(G309,2)=LEFT('112'!$M$9,2),B309&lt;'112'!$N$8,$L309='112'!$I$6)),"x",""))</f>
        <v/>
      </c>
      <c r="T309" s="49" t="str">
        <f>IF(ISERROR(FIND('112'!$M$9,G309,1)),"",IF((AND(RIGHT(G309,2)=RIGHT('112'!$M$9,2),B309&lt;'112'!$N$8,$M309='112'!$I$6)),"x",""))</f>
        <v/>
      </c>
      <c r="U309" s="49" t="str">
        <f>IF(AND(L309="154",'154'!$O$5&lt;=B309,'154'!$P$5&gt;=B309),"154",IF(AND(L309="632",'632'!$L$5&lt;=B309,'632'!$M$5&gt;=B309),"632",IF(AND(L309="642",'642'!$N$5&lt;=B309,'642'!$O$5&gt;=B309),"642",IF(AND(L309="641",'641'!$N$5&lt;=B309,'641'!$O$5&gt;=B309),"641",""))))</f>
        <v/>
      </c>
      <c r="V309" s="49" t="str">
        <f>IF(OR(TH!L309=TH!$V$7,M309=TH!$V$7),"x","")</f>
        <v/>
      </c>
      <c r="W309" s="49" t="str">
        <f>IF(AND(B309&gt;='IN-NX'!$P$3,B309&lt;='IN-NX'!$Q$3,'IN-NX'!$D$7=D309,OR(LEFT(L309,2)="15",AND(LEFT(M309,2)&lt;&gt;"15",LEFT(M309,2)&lt;&gt;"33"))),"x","")</f>
        <v/>
      </c>
      <c r="X309" s="49" t="str">
        <f>IF(AND(OR(LEFT(TH!L309,2)="15",LEFT(TH!M309,2)="15"),'152-CT'!$J$8=TH!F309),"x","")</f>
        <v/>
      </c>
      <c r="Y309" s="49" t="str">
        <f>IF(AND(OR(LEFT(TH!L309,2)="15",LEFT(TH!M309,2)="15"),TK!$E$7=TH!F309),"x","")</f>
        <v/>
      </c>
      <c r="Z309" s="49" t="str">
        <f>IF(AND(B309&lt;=NKC!$N$8,B309&gt;=NKC!$M$8),"x","")</f>
        <v/>
      </c>
      <c r="AA309" s="723"/>
      <c r="AB309" s="497"/>
    </row>
    <row r="310" spans="1:28" s="199" customFormat="1" ht="15.75" hidden="1" customHeight="1">
      <c r="A310" s="724" t="str">
        <f>IF(B310&lt;&gt;"",IF(AND(B310&gt;=_TM1,B310&lt;=_TM2,OR(TH!L310="1111",TH!M310="1111")),TH!D310,""),"")</f>
        <v/>
      </c>
      <c r="B310" s="36">
        <f t="shared" si="21"/>
        <v>12</v>
      </c>
      <c r="C310" s="185">
        <f t="shared" si="23"/>
        <v>41274</v>
      </c>
      <c r="D310" s="185" t="s">
        <v>631</v>
      </c>
      <c r="E310" s="185">
        <v>41274</v>
      </c>
      <c r="F310" s="186" t="s">
        <v>547</v>
      </c>
      <c r="G310" s="732"/>
      <c r="H310" s="187" t="s">
        <v>630</v>
      </c>
      <c r="I310" s="247">
        <v>4665</v>
      </c>
      <c r="J310" s="247">
        <v>5359.5047650707666</v>
      </c>
      <c r="K310" s="505">
        <f t="shared" si="22"/>
        <v>25002090</v>
      </c>
      <c r="L310" s="506" t="s">
        <v>162</v>
      </c>
      <c r="M310" s="506" t="s">
        <v>375</v>
      </c>
      <c r="N310" s="49" t="str">
        <f>IF(AND('331-CT'!$E$7=TH!H310,OR(L310="331",M310="331")),"331",IF(AND(OR(L310="131",M310="131"),H310='131-CT'!$E$7),"131",""))</f>
        <v/>
      </c>
      <c r="O310" s="49" t="str">
        <f>IF(AND($B310&gt;='111'!$N$11,$B310&lt;='111'!$O$11,OR($L310=$O$7,$M310=$O$7)),"x","")</f>
        <v/>
      </c>
      <c r="P310" s="49" t="str">
        <f>IF(AND($L310=$O$7,$B310&lt;'111'!$N$11),"x","")</f>
        <v/>
      </c>
      <c r="Q310" s="49" t="str">
        <f>IF(AND($M310=$O$7,$B310&lt;'111'!$N$11),"x","")</f>
        <v/>
      </c>
      <c r="R310" s="49" t="str">
        <f>IF(ISERROR(FIND('112'!$M$9,G310,1)),"",IF((AND(FIND('112'!$M$9,G310,1)&gt;=1,$B310&gt;='112'!$N$8,$B310&lt;='112'!$O$8,OR($L310='112'!$I$6,$M310='112'!$I$6))),"x",""))</f>
        <v/>
      </c>
      <c r="S310" s="49" t="str">
        <f>IF(ISERROR(FIND('112'!$M$9,G310,1)),"",IF((AND(LEFT(G310,2)=LEFT('112'!$M$9,2),B310&lt;'112'!$N$8,$L310='112'!$I$6)),"x",""))</f>
        <v/>
      </c>
      <c r="T310" s="49" t="str">
        <f>IF(ISERROR(FIND('112'!$M$9,G310,1)),"",IF((AND(RIGHT(G310,2)=RIGHT('112'!$M$9,2),B310&lt;'112'!$N$8,$M310='112'!$I$6)),"x",""))</f>
        <v/>
      </c>
      <c r="U310" s="49" t="str">
        <f>IF(AND(L310="154",'154'!$O$5&lt;=B310,'154'!$P$5&gt;=B310),"154",IF(AND(L310="632",'632'!$L$5&lt;=B310,'632'!$M$5&gt;=B310),"632",IF(AND(L310="642",'642'!$N$5&lt;=B310,'642'!$O$5&gt;=B310),"642",IF(AND(L310="641",'641'!$N$5&lt;=B310,'641'!$O$5&gt;=B310),"641",""))))</f>
        <v/>
      </c>
      <c r="V310" s="49" t="str">
        <f>IF(OR(TH!L310=TH!$V$7,M310=TH!$V$7),"x","")</f>
        <v/>
      </c>
      <c r="W310" s="49" t="str">
        <f>IF(AND(B310&gt;='IN-NX'!$P$3,B310&lt;='IN-NX'!$Q$3,'IN-NX'!$D$7=D310,OR(LEFT(L310,2)="15",AND(LEFT(M310,2)&lt;&gt;"15",LEFT(M310,2)&lt;&gt;"33"))),"x","")</f>
        <v/>
      </c>
      <c r="X310" s="49" t="str">
        <f>IF(AND(OR(LEFT(TH!L310,2)="15",LEFT(TH!M310,2)="15"),'152-CT'!$J$8=TH!F310),"x","")</f>
        <v/>
      </c>
      <c r="Y310" s="49" t="str">
        <f>IF(AND(OR(LEFT(TH!L310,2)="15",LEFT(TH!M310,2)="15"),TK!$E$7=TH!F310),"x","")</f>
        <v/>
      </c>
      <c r="Z310" s="49" t="str">
        <f>IF(AND(B310&lt;=NKC!$N$8,B310&gt;=NKC!$M$8),"x","")</f>
        <v/>
      </c>
      <c r="AA310" s="723"/>
      <c r="AB310" s="497"/>
    </row>
    <row r="311" spans="1:28" s="199" customFormat="1" ht="15.75" hidden="1" customHeight="1">
      <c r="A311" s="724" t="str">
        <f>IF(B311&lt;&gt;"",IF(AND(B311&gt;=_TM1,B311&lt;=_TM2,OR(TH!L311="1111",TH!M311="1111")),TH!D311,""),"")</f>
        <v/>
      </c>
      <c r="B311" s="36">
        <f t="shared" si="21"/>
        <v>12</v>
      </c>
      <c r="C311" s="185">
        <f t="shared" si="23"/>
        <v>41274</v>
      </c>
      <c r="D311" s="185" t="s">
        <v>631</v>
      </c>
      <c r="E311" s="185">
        <v>41274</v>
      </c>
      <c r="F311" s="186" t="s">
        <v>539</v>
      </c>
      <c r="G311" s="732"/>
      <c r="H311" s="187" t="s">
        <v>630</v>
      </c>
      <c r="I311" s="247">
        <v>1147</v>
      </c>
      <c r="J311" s="247">
        <v>5705.0942259973081</v>
      </c>
      <c r="K311" s="505">
        <f t="shared" si="22"/>
        <v>6543743</v>
      </c>
      <c r="L311" s="506" t="s">
        <v>162</v>
      </c>
      <c r="M311" s="506" t="s">
        <v>375</v>
      </c>
      <c r="N311" s="49" t="str">
        <f>IF(AND('331-CT'!$E$7=TH!H311,OR(L311="331",M311="331")),"331",IF(AND(OR(L311="131",M311="131"),H311='131-CT'!$E$7),"131",""))</f>
        <v/>
      </c>
      <c r="O311" s="49" t="str">
        <f>IF(AND($B311&gt;='111'!$N$11,$B311&lt;='111'!$O$11,OR($L311=$O$7,$M311=$O$7)),"x","")</f>
        <v/>
      </c>
      <c r="P311" s="49" t="str">
        <f>IF(AND($L311=$O$7,$B311&lt;'111'!$N$11),"x","")</f>
        <v/>
      </c>
      <c r="Q311" s="49" t="str">
        <f>IF(AND($M311=$O$7,$B311&lt;'111'!$N$11),"x","")</f>
        <v/>
      </c>
      <c r="R311" s="49" t="str">
        <f>IF(ISERROR(FIND('112'!$M$9,G311,1)),"",IF((AND(FIND('112'!$M$9,G311,1)&gt;=1,$B311&gt;='112'!$N$8,$B311&lt;='112'!$O$8,OR($L311='112'!$I$6,$M311='112'!$I$6))),"x",""))</f>
        <v/>
      </c>
      <c r="S311" s="49" t="str">
        <f>IF(ISERROR(FIND('112'!$M$9,G311,1)),"",IF((AND(LEFT(G311,2)=LEFT('112'!$M$9,2),B311&lt;'112'!$N$8,$L311='112'!$I$6)),"x",""))</f>
        <v/>
      </c>
      <c r="T311" s="49" t="str">
        <f>IF(ISERROR(FIND('112'!$M$9,G311,1)),"",IF((AND(RIGHT(G311,2)=RIGHT('112'!$M$9,2),B311&lt;'112'!$N$8,$M311='112'!$I$6)),"x",""))</f>
        <v/>
      </c>
      <c r="U311" s="49" t="str">
        <f>IF(AND(L311="154",'154'!$O$5&lt;=B311,'154'!$P$5&gt;=B311),"154",IF(AND(L311="632",'632'!$L$5&lt;=B311,'632'!$M$5&gt;=B311),"632",IF(AND(L311="642",'642'!$N$5&lt;=B311,'642'!$O$5&gt;=B311),"642",IF(AND(L311="641",'641'!$N$5&lt;=B311,'641'!$O$5&gt;=B311),"641",""))))</f>
        <v/>
      </c>
      <c r="V311" s="49" t="str">
        <f>IF(OR(TH!L311=TH!$V$7,M311=TH!$V$7),"x","")</f>
        <v/>
      </c>
      <c r="W311" s="49" t="str">
        <f>IF(AND(B311&gt;='IN-NX'!$P$3,B311&lt;='IN-NX'!$Q$3,'IN-NX'!$D$7=D311,OR(LEFT(L311,2)="15",AND(LEFT(M311,2)&lt;&gt;"15",LEFT(M311,2)&lt;&gt;"33"))),"x","")</f>
        <v/>
      </c>
      <c r="X311" s="49" t="str">
        <f>IF(AND(OR(LEFT(TH!L311,2)="15",LEFT(TH!M311,2)="15"),'152-CT'!$J$8=TH!F311),"x","")</f>
        <v/>
      </c>
      <c r="Y311" s="49" t="str">
        <f>IF(AND(OR(LEFT(TH!L311,2)="15",LEFT(TH!M311,2)="15"),TK!$E$7=TH!F311),"x","")</f>
        <v/>
      </c>
      <c r="Z311" s="49" t="str">
        <f>IF(AND(B311&lt;=NKC!$N$8,B311&gt;=NKC!$M$8),"x","")</f>
        <v/>
      </c>
      <c r="AA311" s="723"/>
      <c r="AB311" s="497"/>
    </row>
    <row r="312" spans="1:28" s="199" customFormat="1" ht="15.75" hidden="1" customHeight="1">
      <c r="A312" s="724" t="str">
        <f>IF(B312&lt;&gt;"",IF(AND(B312&gt;=_TM1,B312&lt;=_TM2,OR(TH!L312="1111",TH!M312="1111")),TH!D312,""),"")</f>
        <v/>
      </c>
      <c r="B312" s="36">
        <f t="shared" si="21"/>
        <v>12</v>
      </c>
      <c r="C312" s="185">
        <f t="shared" si="23"/>
        <v>41274</v>
      </c>
      <c r="D312" s="185" t="s">
        <v>631</v>
      </c>
      <c r="E312" s="185">
        <v>41274</v>
      </c>
      <c r="F312" s="186" t="s">
        <v>544</v>
      </c>
      <c r="G312" s="732"/>
      <c r="H312" s="187" t="s">
        <v>630</v>
      </c>
      <c r="I312" s="247">
        <v>3175</v>
      </c>
      <c r="J312" s="247">
        <v>5320.8980266686931</v>
      </c>
      <c r="K312" s="505">
        <f t="shared" si="22"/>
        <v>16893851</v>
      </c>
      <c r="L312" s="506" t="s">
        <v>162</v>
      </c>
      <c r="M312" s="506" t="s">
        <v>375</v>
      </c>
      <c r="N312" s="49" t="str">
        <f>IF(AND('331-CT'!$E$7=TH!H312,OR(L312="331",M312="331")),"331",IF(AND(OR(L312="131",M312="131"),H312='131-CT'!$E$7),"131",""))</f>
        <v/>
      </c>
      <c r="O312" s="49" t="str">
        <f>IF(AND($B312&gt;='111'!$N$11,$B312&lt;='111'!$O$11,OR($L312=$O$7,$M312=$O$7)),"x","")</f>
        <v/>
      </c>
      <c r="P312" s="49" t="str">
        <f>IF(AND($L312=$O$7,$B312&lt;'111'!$N$11),"x","")</f>
        <v/>
      </c>
      <c r="Q312" s="49" t="str">
        <f>IF(AND($M312=$O$7,$B312&lt;'111'!$N$11),"x","")</f>
        <v/>
      </c>
      <c r="R312" s="49" t="str">
        <f>IF(ISERROR(FIND('112'!$M$9,G312,1)),"",IF((AND(FIND('112'!$M$9,G312,1)&gt;=1,$B312&gt;='112'!$N$8,$B312&lt;='112'!$O$8,OR($L312='112'!$I$6,$M312='112'!$I$6))),"x",""))</f>
        <v/>
      </c>
      <c r="S312" s="49" t="str">
        <f>IF(ISERROR(FIND('112'!$M$9,G312,1)),"",IF((AND(LEFT(G312,2)=LEFT('112'!$M$9,2),B312&lt;'112'!$N$8,$L312='112'!$I$6)),"x",""))</f>
        <v/>
      </c>
      <c r="T312" s="49" t="str">
        <f>IF(ISERROR(FIND('112'!$M$9,G312,1)),"",IF((AND(RIGHT(G312,2)=RIGHT('112'!$M$9,2),B312&lt;'112'!$N$8,$M312='112'!$I$6)),"x",""))</f>
        <v/>
      </c>
      <c r="U312" s="49" t="str">
        <f>IF(AND(L312="154",'154'!$O$5&lt;=B312,'154'!$P$5&gt;=B312),"154",IF(AND(L312="632",'632'!$L$5&lt;=B312,'632'!$M$5&gt;=B312),"632",IF(AND(L312="642",'642'!$N$5&lt;=B312,'642'!$O$5&gt;=B312),"642",IF(AND(L312="641",'641'!$N$5&lt;=B312,'641'!$O$5&gt;=B312),"641",""))))</f>
        <v/>
      </c>
      <c r="V312" s="49" t="str">
        <f>IF(OR(TH!L312=TH!$V$7,M312=TH!$V$7),"x","")</f>
        <v/>
      </c>
      <c r="W312" s="49" t="str">
        <f>IF(AND(B312&gt;='IN-NX'!$P$3,B312&lt;='IN-NX'!$Q$3,'IN-NX'!$D$7=D312,OR(LEFT(L312,2)="15",AND(LEFT(M312,2)&lt;&gt;"15",LEFT(M312,2)&lt;&gt;"33"))),"x","")</f>
        <v/>
      </c>
      <c r="X312" s="49" t="str">
        <f>IF(AND(OR(LEFT(TH!L312,2)="15",LEFT(TH!M312,2)="15"),'152-CT'!$J$8=TH!F312),"x","")</f>
        <v/>
      </c>
      <c r="Y312" s="49" t="str">
        <f>IF(AND(OR(LEFT(TH!L312,2)="15",LEFT(TH!M312,2)="15"),TK!$E$7=TH!F312),"x","")</f>
        <v/>
      </c>
      <c r="Z312" s="49" t="str">
        <f>IF(AND(B312&lt;=NKC!$N$8,B312&gt;=NKC!$M$8),"x","")</f>
        <v/>
      </c>
      <c r="AA312" s="723"/>
      <c r="AB312" s="497"/>
    </row>
    <row r="313" spans="1:28" s="199" customFormat="1" ht="15.75" hidden="1" customHeight="1">
      <c r="A313" s="724" t="str">
        <f>IF(B313&lt;&gt;"",IF(AND(B313&gt;=_TM1,B313&lt;=_TM2,OR(TH!L313="1111",TH!M313="1111")),TH!D313,""),"")</f>
        <v/>
      </c>
      <c r="B313" s="36">
        <f t="shared" si="21"/>
        <v>12</v>
      </c>
      <c r="C313" s="185">
        <f t="shared" si="23"/>
        <v>41274</v>
      </c>
      <c r="D313" s="185" t="s">
        <v>631</v>
      </c>
      <c r="E313" s="185">
        <v>41274</v>
      </c>
      <c r="F313" s="186" t="s">
        <v>557</v>
      </c>
      <c r="G313" s="732"/>
      <c r="H313" s="187" t="s">
        <v>630</v>
      </c>
      <c r="I313" s="247">
        <v>1000</v>
      </c>
      <c r="J313" s="247">
        <v>6273.2781841490087</v>
      </c>
      <c r="K313" s="505">
        <f t="shared" si="22"/>
        <v>6273278</v>
      </c>
      <c r="L313" s="506" t="s">
        <v>162</v>
      </c>
      <c r="M313" s="506" t="s">
        <v>375</v>
      </c>
      <c r="N313" s="49" t="str">
        <f>IF(AND('331-CT'!$E$7=TH!H313,OR(L313="331",M313="331")),"331",IF(AND(OR(L313="131",M313="131"),H313='131-CT'!$E$7),"131",""))</f>
        <v/>
      </c>
      <c r="O313" s="49" t="str">
        <f>IF(AND($B313&gt;='111'!$N$11,$B313&lt;='111'!$O$11,OR($L313=$O$7,$M313=$O$7)),"x","")</f>
        <v/>
      </c>
      <c r="P313" s="49" t="str">
        <f>IF(AND($L313=$O$7,$B313&lt;'111'!$N$11),"x","")</f>
        <v/>
      </c>
      <c r="Q313" s="49" t="str">
        <f>IF(AND($M313=$O$7,$B313&lt;'111'!$N$11),"x","")</f>
        <v/>
      </c>
      <c r="R313" s="49" t="str">
        <f>IF(ISERROR(FIND('112'!$M$9,G313,1)),"",IF((AND(FIND('112'!$M$9,G313,1)&gt;=1,$B313&gt;='112'!$N$8,$B313&lt;='112'!$O$8,OR($L313='112'!$I$6,$M313='112'!$I$6))),"x",""))</f>
        <v/>
      </c>
      <c r="S313" s="49" t="str">
        <f>IF(ISERROR(FIND('112'!$M$9,G313,1)),"",IF((AND(LEFT(G313,2)=LEFT('112'!$M$9,2),B313&lt;'112'!$N$8,$L313='112'!$I$6)),"x",""))</f>
        <v/>
      </c>
      <c r="T313" s="49" t="str">
        <f>IF(ISERROR(FIND('112'!$M$9,G313,1)),"",IF((AND(RIGHT(G313,2)=RIGHT('112'!$M$9,2),B313&lt;'112'!$N$8,$M313='112'!$I$6)),"x",""))</f>
        <v/>
      </c>
      <c r="U313" s="49" t="str">
        <f>IF(AND(L313="154",'154'!$O$5&lt;=B313,'154'!$P$5&gt;=B313),"154",IF(AND(L313="632",'632'!$L$5&lt;=B313,'632'!$M$5&gt;=B313),"632",IF(AND(L313="642",'642'!$N$5&lt;=B313,'642'!$O$5&gt;=B313),"642",IF(AND(L313="641",'641'!$N$5&lt;=B313,'641'!$O$5&gt;=B313),"641",""))))</f>
        <v/>
      </c>
      <c r="V313" s="49" t="str">
        <f>IF(OR(TH!L313=TH!$V$7,M313=TH!$V$7),"x","")</f>
        <v/>
      </c>
      <c r="W313" s="49" t="str">
        <f>IF(AND(B313&gt;='IN-NX'!$P$3,B313&lt;='IN-NX'!$Q$3,'IN-NX'!$D$7=D313,OR(LEFT(L313,2)="15",AND(LEFT(M313,2)&lt;&gt;"15",LEFT(M313,2)&lt;&gt;"33"))),"x","")</f>
        <v/>
      </c>
      <c r="X313" s="49" t="str">
        <f>IF(AND(OR(LEFT(TH!L313,2)="15",LEFT(TH!M313,2)="15"),'152-CT'!$J$8=TH!F313),"x","")</f>
        <v/>
      </c>
      <c r="Y313" s="49" t="str">
        <f>IF(AND(OR(LEFT(TH!L313,2)="15",LEFT(TH!M313,2)="15"),TK!$E$7=TH!F313),"x","")</f>
        <v/>
      </c>
      <c r="Z313" s="49" t="str">
        <f>IF(AND(B313&lt;=NKC!$N$8,B313&gt;=NKC!$M$8),"x","")</f>
        <v/>
      </c>
      <c r="AA313" s="723"/>
      <c r="AB313" s="497"/>
    </row>
    <row r="314" spans="1:28" s="199" customFormat="1" ht="15.75" hidden="1" customHeight="1">
      <c r="A314" s="724" t="str">
        <f>IF(B314&lt;&gt;"",IF(AND(B314&gt;=_TM1,B314&lt;=_TM2,OR(TH!L314="1111",TH!M314="1111")),TH!D314,""),"")</f>
        <v/>
      </c>
      <c r="B314" s="36">
        <f t="shared" si="21"/>
        <v>12</v>
      </c>
      <c r="C314" s="185">
        <f t="shared" si="23"/>
        <v>41274</v>
      </c>
      <c r="D314" s="185" t="s">
        <v>631</v>
      </c>
      <c r="E314" s="185">
        <v>41274</v>
      </c>
      <c r="F314" s="186" t="s">
        <v>555</v>
      </c>
      <c r="G314" s="732"/>
      <c r="H314" s="187" t="s">
        <v>630</v>
      </c>
      <c r="I314" s="247">
        <v>1000</v>
      </c>
      <c r="J314" s="247">
        <v>12495.278184149009</v>
      </c>
      <c r="K314" s="505">
        <f t="shared" si="22"/>
        <v>12495278</v>
      </c>
      <c r="L314" s="506" t="s">
        <v>162</v>
      </c>
      <c r="M314" s="506" t="s">
        <v>375</v>
      </c>
      <c r="N314" s="49" t="str">
        <f>IF(AND('331-CT'!$E$7=TH!H314,OR(L314="331",M314="331")),"331",IF(AND(OR(L314="131",M314="131"),H314='131-CT'!$E$7),"131",""))</f>
        <v/>
      </c>
      <c r="O314" s="49" t="str">
        <f>IF(AND($B314&gt;='111'!$N$11,$B314&lt;='111'!$O$11,OR($L314=$O$7,$M314=$O$7)),"x","")</f>
        <v/>
      </c>
      <c r="P314" s="49" t="str">
        <f>IF(AND($L314=$O$7,$B314&lt;'111'!$N$11),"x","")</f>
        <v/>
      </c>
      <c r="Q314" s="49" t="str">
        <f>IF(AND($M314=$O$7,$B314&lt;'111'!$N$11),"x","")</f>
        <v/>
      </c>
      <c r="R314" s="49" t="str">
        <f>IF(ISERROR(FIND('112'!$M$9,G314,1)),"",IF((AND(FIND('112'!$M$9,G314,1)&gt;=1,$B314&gt;='112'!$N$8,$B314&lt;='112'!$O$8,OR($L314='112'!$I$6,$M314='112'!$I$6))),"x",""))</f>
        <v/>
      </c>
      <c r="S314" s="49" t="str">
        <f>IF(ISERROR(FIND('112'!$M$9,G314,1)),"",IF((AND(LEFT(G314,2)=LEFT('112'!$M$9,2),B314&lt;'112'!$N$8,$L314='112'!$I$6)),"x",""))</f>
        <v/>
      </c>
      <c r="T314" s="49" t="str">
        <f>IF(ISERROR(FIND('112'!$M$9,G314,1)),"",IF((AND(RIGHT(G314,2)=RIGHT('112'!$M$9,2),B314&lt;'112'!$N$8,$M314='112'!$I$6)),"x",""))</f>
        <v/>
      </c>
      <c r="U314" s="49" t="str">
        <f>IF(AND(L314="154",'154'!$O$5&lt;=B314,'154'!$P$5&gt;=B314),"154",IF(AND(L314="632",'632'!$L$5&lt;=B314,'632'!$M$5&gt;=B314),"632",IF(AND(L314="642",'642'!$N$5&lt;=B314,'642'!$O$5&gt;=B314),"642",IF(AND(L314="641",'641'!$N$5&lt;=B314,'641'!$O$5&gt;=B314),"641",""))))</f>
        <v/>
      </c>
      <c r="V314" s="49" t="str">
        <f>IF(OR(TH!L314=TH!$V$7,M314=TH!$V$7),"x","")</f>
        <v/>
      </c>
      <c r="W314" s="49" t="str">
        <f>IF(AND(B314&gt;='IN-NX'!$P$3,B314&lt;='IN-NX'!$Q$3,'IN-NX'!$D$7=D314,OR(LEFT(L314,2)="15",AND(LEFT(M314,2)&lt;&gt;"15",LEFT(M314,2)&lt;&gt;"33"))),"x","")</f>
        <v/>
      </c>
      <c r="X314" s="49" t="str">
        <f>IF(AND(OR(LEFT(TH!L314,2)="15",LEFT(TH!M314,2)="15"),'152-CT'!$J$8=TH!F314),"x","")</f>
        <v/>
      </c>
      <c r="Y314" s="49" t="str">
        <f>IF(AND(OR(LEFT(TH!L314,2)="15",LEFT(TH!M314,2)="15"),TK!$E$7=TH!F314),"x","")</f>
        <v/>
      </c>
      <c r="Z314" s="49" t="str">
        <f>IF(AND(B314&lt;=NKC!$N$8,B314&gt;=NKC!$M$8),"x","")</f>
        <v/>
      </c>
      <c r="AA314" s="723"/>
      <c r="AB314" s="497"/>
    </row>
    <row r="315" spans="1:28" s="199" customFormat="1" ht="15.75" hidden="1" customHeight="1">
      <c r="A315" s="724" t="str">
        <f>IF(B315&lt;&gt;"",IF(AND(B315&gt;=_TM1,B315&lt;=_TM2,OR(TH!L315="1111",TH!M315="1111")),TH!D315,""),"")</f>
        <v/>
      </c>
      <c r="B315" s="36">
        <f t="shared" si="21"/>
        <v>12</v>
      </c>
      <c r="C315" s="185">
        <f t="shared" si="23"/>
        <v>41274</v>
      </c>
      <c r="D315" s="185" t="s">
        <v>631</v>
      </c>
      <c r="E315" s="185">
        <v>41274</v>
      </c>
      <c r="F315" s="186" t="s">
        <v>575</v>
      </c>
      <c r="G315" s="732"/>
      <c r="H315" s="187" t="s">
        <v>630</v>
      </c>
      <c r="I315" s="247">
        <v>1000</v>
      </c>
      <c r="J315" s="247">
        <v>5791.6501841490081</v>
      </c>
      <c r="K315" s="505">
        <f t="shared" si="22"/>
        <v>5791650</v>
      </c>
      <c r="L315" s="506" t="s">
        <v>162</v>
      </c>
      <c r="M315" s="506" t="s">
        <v>375</v>
      </c>
      <c r="N315" s="49" t="str">
        <f>IF(AND('331-CT'!$E$7=TH!H315,OR(L315="331",M315="331")),"331",IF(AND(OR(L315="131",M315="131"),H315='131-CT'!$E$7),"131",""))</f>
        <v/>
      </c>
      <c r="O315" s="49" t="str">
        <f>IF(AND($B315&gt;='111'!$N$11,$B315&lt;='111'!$O$11,OR($L315=$O$7,$M315=$O$7)),"x","")</f>
        <v/>
      </c>
      <c r="P315" s="49" t="str">
        <f>IF(AND($L315=$O$7,$B315&lt;'111'!$N$11),"x","")</f>
        <v/>
      </c>
      <c r="Q315" s="49" t="str">
        <f>IF(AND($M315=$O$7,$B315&lt;'111'!$N$11),"x","")</f>
        <v/>
      </c>
      <c r="R315" s="49" t="str">
        <f>IF(ISERROR(FIND('112'!$M$9,G315,1)),"",IF((AND(FIND('112'!$M$9,G315,1)&gt;=1,$B315&gt;='112'!$N$8,$B315&lt;='112'!$O$8,OR($L315='112'!$I$6,$M315='112'!$I$6))),"x",""))</f>
        <v/>
      </c>
      <c r="S315" s="49" t="str">
        <f>IF(ISERROR(FIND('112'!$M$9,G315,1)),"",IF((AND(LEFT(G315,2)=LEFT('112'!$M$9,2),B315&lt;'112'!$N$8,$L315='112'!$I$6)),"x",""))</f>
        <v/>
      </c>
      <c r="T315" s="49" t="str">
        <f>IF(ISERROR(FIND('112'!$M$9,G315,1)),"",IF((AND(RIGHT(G315,2)=RIGHT('112'!$M$9,2),B315&lt;'112'!$N$8,$M315='112'!$I$6)),"x",""))</f>
        <v/>
      </c>
      <c r="U315" s="49" t="str">
        <f>IF(AND(L315="154",'154'!$O$5&lt;=B315,'154'!$P$5&gt;=B315),"154",IF(AND(L315="632",'632'!$L$5&lt;=B315,'632'!$M$5&gt;=B315),"632",IF(AND(L315="642",'642'!$N$5&lt;=B315,'642'!$O$5&gt;=B315),"642",IF(AND(L315="641",'641'!$N$5&lt;=B315,'641'!$O$5&gt;=B315),"641",""))))</f>
        <v/>
      </c>
      <c r="V315" s="49" t="str">
        <f>IF(OR(TH!L315=TH!$V$7,M315=TH!$V$7),"x","")</f>
        <v/>
      </c>
      <c r="W315" s="49" t="str">
        <f>IF(AND(B315&gt;='IN-NX'!$P$3,B315&lt;='IN-NX'!$Q$3,'IN-NX'!$D$7=D315,OR(LEFT(L315,2)="15",AND(LEFT(M315,2)&lt;&gt;"15",LEFT(M315,2)&lt;&gt;"33"))),"x","")</f>
        <v/>
      </c>
      <c r="X315" s="49" t="str">
        <f>IF(AND(OR(LEFT(TH!L315,2)="15",LEFT(TH!M315,2)="15"),'152-CT'!$J$8=TH!F315),"x","")</f>
        <v/>
      </c>
      <c r="Y315" s="49" t="str">
        <f>IF(AND(OR(LEFT(TH!L315,2)="15",LEFT(TH!M315,2)="15"),TK!$E$7=TH!F315),"x","")</f>
        <v/>
      </c>
      <c r="Z315" s="49" t="str">
        <f>IF(AND(B315&lt;=NKC!$N$8,B315&gt;=NKC!$M$8),"x","")</f>
        <v/>
      </c>
      <c r="AA315" s="723"/>
      <c r="AB315" s="497"/>
    </row>
    <row r="316" spans="1:28" s="199" customFormat="1" ht="15.75" hidden="1" customHeight="1">
      <c r="A316" s="724" t="str">
        <f>IF(B316&lt;&gt;"",IF(AND(B316&gt;=_TM1,B316&lt;=_TM2,OR(TH!L316="1111",TH!M316="1111")),TH!D316,""),"")</f>
        <v/>
      </c>
      <c r="B316" s="36">
        <f t="shared" si="21"/>
        <v>12</v>
      </c>
      <c r="C316" s="185">
        <f t="shared" si="23"/>
        <v>41274</v>
      </c>
      <c r="D316" s="185" t="s">
        <v>631</v>
      </c>
      <c r="E316" s="185">
        <v>41274</v>
      </c>
      <c r="F316" s="186" t="s">
        <v>572</v>
      </c>
      <c r="G316" s="732"/>
      <c r="H316" s="187" t="s">
        <v>630</v>
      </c>
      <c r="I316" s="247">
        <v>300</v>
      </c>
      <c r="J316" s="247">
        <v>5291.2781841490087</v>
      </c>
      <c r="K316" s="505">
        <f t="shared" si="22"/>
        <v>1587383</v>
      </c>
      <c r="L316" s="506" t="s">
        <v>162</v>
      </c>
      <c r="M316" s="506" t="s">
        <v>375</v>
      </c>
      <c r="N316" s="49" t="str">
        <f>IF(AND('331-CT'!$E$7=TH!H316,OR(L316="331",M316="331")),"331",IF(AND(OR(L316="131",M316="131"),H316='131-CT'!$E$7),"131",""))</f>
        <v/>
      </c>
      <c r="O316" s="49" t="str">
        <f>IF(AND($B316&gt;='111'!$N$11,$B316&lt;='111'!$O$11,OR($L316=$O$7,$M316=$O$7)),"x","")</f>
        <v/>
      </c>
      <c r="P316" s="49" t="str">
        <f>IF(AND($L316=$O$7,$B316&lt;'111'!$N$11),"x","")</f>
        <v/>
      </c>
      <c r="Q316" s="49" t="str">
        <f>IF(AND($M316=$O$7,$B316&lt;'111'!$N$11),"x","")</f>
        <v/>
      </c>
      <c r="R316" s="49" t="str">
        <f>IF(ISERROR(FIND('112'!$M$9,G316,1)),"",IF((AND(FIND('112'!$M$9,G316,1)&gt;=1,$B316&gt;='112'!$N$8,$B316&lt;='112'!$O$8,OR($L316='112'!$I$6,$M316='112'!$I$6))),"x",""))</f>
        <v/>
      </c>
      <c r="S316" s="49" t="str">
        <f>IF(ISERROR(FIND('112'!$M$9,G316,1)),"",IF((AND(LEFT(G316,2)=LEFT('112'!$M$9,2),B316&lt;'112'!$N$8,$L316='112'!$I$6)),"x",""))</f>
        <v/>
      </c>
      <c r="T316" s="49" t="str">
        <f>IF(ISERROR(FIND('112'!$M$9,G316,1)),"",IF((AND(RIGHT(G316,2)=RIGHT('112'!$M$9,2),B316&lt;'112'!$N$8,$M316='112'!$I$6)),"x",""))</f>
        <v/>
      </c>
      <c r="U316" s="49" t="str">
        <f>IF(AND(L316="154",'154'!$O$5&lt;=B316,'154'!$P$5&gt;=B316),"154",IF(AND(L316="632",'632'!$L$5&lt;=B316,'632'!$M$5&gt;=B316),"632",IF(AND(L316="642",'642'!$N$5&lt;=B316,'642'!$O$5&gt;=B316),"642",IF(AND(L316="641",'641'!$N$5&lt;=B316,'641'!$O$5&gt;=B316),"641",""))))</f>
        <v/>
      </c>
      <c r="V316" s="49" t="str">
        <f>IF(OR(TH!L316=TH!$V$7,M316=TH!$V$7),"x","")</f>
        <v/>
      </c>
      <c r="W316" s="49" t="str">
        <f>IF(AND(B316&gt;='IN-NX'!$P$3,B316&lt;='IN-NX'!$Q$3,'IN-NX'!$D$7=D316,OR(LEFT(L316,2)="15",AND(LEFT(M316,2)&lt;&gt;"15",LEFT(M316,2)&lt;&gt;"33"))),"x","")</f>
        <v/>
      </c>
      <c r="X316" s="49" t="str">
        <f>IF(AND(OR(LEFT(TH!L316,2)="15",LEFT(TH!M316,2)="15"),'152-CT'!$J$8=TH!F316),"x","")</f>
        <v/>
      </c>
      <c r="Y316" s="49" t="str">
        <f>IF(AND(OR(LEFT(TH!L316,2)="15",LEFT(TH!M316,2)="15"),TK!$E$7=TH!F316),"x","")</f>
        <v/>
      </c>
      <c r="Z316" s="49" t="str">
        <f>IF(AND(B316&lt;=NKC!$N$8,B316&gt;=NKC!$M$8),"x","")</f>
        <v/>
      </c>
      <c r="AA316" s="723"/>
      <c r="AB316" s="497"/>
    </row>
    <row r="317" spans="1:28" s="199" customFormat="1" ht="15.75" hidden="1" customHeight="1">
      <c r="A317" s="724" t="str">
        <f>IF(B317&lt;&gt;"",IF(AND(B317&gt;=_TM1,B317&lt;=_TM2,OR(TH!L317="1111",TH!M317="1111")),TH!D317,""),"")</f>
        <v/>
      </c>
      <c r="B317" s="36">
        <f t="shared" si="21"/>
        <v>12</v>
      </c>
      <c r="C317" s="185">
        <f t="shared" si="23"/>
        <v>41274</v>
      </c>
      <c r="D317" s="185" t="s">
        <v>631</v>
      </c>
      <c r="E317" s="185">
        <v>41274</v>
      </c>
      <c r="F317" s="186" t="s">
        <v>559</v>
      </c>
      <c r="G317" s="732"/>
      <c r="H317" s="187" t="s">
        <v>630</v>
      </c>
      <c r="I317" s="247">
        <v>550</v>
      </c>
      <c r="J317" s="247">
        <v>4454.2781841490087</v>
      </c>
      <c r="K317" s="505">
        <f t="shared" si="22"/>
        <v>2449853</v>
      </c>
      <c r="L317" s="506" t="s">
        <v>162</v>
      </c>
      <c r="M317" s="506" t="s">
        <v>375</v>
      </c>
      <c r="N317" s="49" t="str">
        <f>IF(AND('331-CT'!$E$7=TH!H317,OR(L317="331",M317="331")),"331",IF(AND(OR(L317="131",M317="131"),H317='131-CT'!$E$7),"131",""))</f>
        <v/>
      </c>
      <c r="O317" s="49" t="str">
        <f>IF(AND($B317&gt;='111'!$N$11,$B317&lt;='111'!$O$11,OR($L317=$O$7,$M317=$O$7)),"x","")</f>
        <v/>
      </c>
      <c r="P317" s="49" t="str">
        <f>IF(AND($L317=$O$7,$B317&lt;'111'!$N$11),"x","")</f>
        <v/>
      </c>
      <c r="Q317" s="49" t="str">
        <f>IF(AND($M317=$O$7,$B317&lt;'111'!$N$11),"x","")</f>
        <v/>
      </c>
      <c r="R317" s="49" t="str">
        <f>IF(ISERROR(FIND('112'!$M$9,G317,1)),"",IF((AND(FIND('112'!$M$9,G317,1)&gt;=1,$B317&gt;='112'!$N$8,$B317&lt;='112'!$O$8,OR($L317='112'!$I$6,$M317='112'!$I$6))),"x",""))</f>
        <v/>
      </c>
      <c r="S317" s="49" t="str">
        <f>IF(ISERROR(FIND('112'!$M$9,G317,1)),"",IF((AND(LEFT(G317,2)=LEFT('112'!$M$9,2),B317&lt;'112'!$N$8,$L317='112'!$I$6)),"x",""))</f>
        <v/>
      </c>
      <c r="T317" s="49" t="str">
        <f>IF(ISERROR(FIND('112'!$M$9,G317,1)),"",IF((AND(RIGHT(G317,2)=RIGHT('112'!$M$9,2),B317&lt;'112'!$N$8,$M317='112'!$I$6)),"x",""))</f>
        <v/>
      </c>
      <c r="U317" s="49" t="str">
        <f>IF(AND(L317="154",'154'!$O$5&lt;=B317,'154'!$P$5&gt;=B317),"154",IF(AND(L317="632",'632'!$L$5&lt;=B317,'632'!$M$5&gt;=B317),"632",IF(AND(L317="642",'642'!$N$5&lt;=B317,'642'!$O$5&gt;=B317),"642",IF(AND(L317="641",'641'!$N$5&lt;=B317,'641'!$O$5&gt;=B317),"641",""))))</f>
        <v/>
      </c>
      <c r="V317" s="49" t="str">
        <f>IF(OR(TH!L317=TH!$V$7,M317=TH!$V$7),"x","")</f>
        <v/>
      </c>
      <c r="W317" s="49" t="str">
        <f>IF(AND(B317&gt;='IN-NX'!$P$3,B317&lt;='IN-NX'!$Q$3,'IN-NX'!$D$7=D317,OR(LEFT(L317,2)="15",AND(LEFT(M317,2)&lt;&gt;"15",LEFT(M317,2)&lt;&gt;"33"))),"x","")</f>
        <v/>
      </c>
      <c r="X317" s="49" t="str">
        <f>IF(AND(OR(LEFT(TH!L317,2)="15",LEFT(TH!M317,2)="15"),'152-CT'!$J$8=TH!F317),"x","")</f>
        <v/>
      </c>
      <c r="Y317" s="49" t="str">
        <f>IF(AND(OR(LEFT(TH!L317,2)="15",LEFT(TH!M317,2)="15"),TK!$E$7=TH!F317),"x","")</f>
        <v/>
      </c>
      <c r="Z317" s="49" t="str">
        <f>IF(AND(B317&lt;=NKC!$N$8,B317&gt;=NKC!$M$8),"x","")</f>
        <v/>
      </c>
      <c r="AA317" s="723"/>
      <c r="AB317" s="497"/>
    </row>
    <row r="318" spans="1:28" s="199" customFormat="1" ht="15.75" hidden="1" customHeight="1">
      <c r="A318" s="724" t="str">
        <f>IF(B318&lt;&gt;"",IF(AND(B318&gt;=_TM1,B318&lt;=_TM2,OR(TH!L318="1111",TH!M318="1111")),TH!D318,""),"")</f>
        <v/>
      </c>
      <c r="B318" s="36">
        <f t="shared" si="21"/>
        <v>12</v>
      </c>
      <c r="C318" s="185">
        <f t="shared" si="23"/>
        <v>41274</v>
      </c>
      <c r="D318" s="185" t="s">
        <v>631</v>
      </c>
      <c r="E318" s="185">
        <v>41274</v>
      </c>
      <c r="F318" s="186" t="s">
        <v>534</v>
      </c>
      <c r="G318" s="732"/>
      <c r="H318" s="187" t="s">
        <v>630</v>
      </c>
      <c r="I318" s="247">
        <v>2250</v>
      </c>
      <c r="J318" s="247">
        <v>4454.2781841490078</v>
      </c>
      <c r="K318" s="505">
        <f t="shared" si="22"/>
        <v>10022126</v>
      </c>
      <c r="L318" s="506" t="s">
        <v>162</v>
      </c>
      <c r="M318" s="506" t="s">
        <v>375</v>
      </c>
      <c r="N318" s="49" t="str">
        <f>IF(AND('331-CT'!$E$7=TH!H318,OR(L318="331",M318="331")),"331",IF(AND(OR(L318="131",M318="131"),H318='131-CT'!$E$7),"131",""))</f>
        <v/>
      </c>
      <c r="O318" s="49" t="str">
        <f>IF(AND($B318&gt;='111'!$N$11,$B318&lt;='111'!$O$11,OR($L318=$O$7,$M318=$O$7)),"x","")</f>
        <v/>
      </c>
      <c r="P318" s="49" t="str">
        <f>IF(AND($L318=$O$7,$B318&lt;'111'!$N$11),"x","")</f>
        <v/>
      </c>
      <c r="Q318" s="49" t="str">
        <f>IF(AND($M318=$O$7,$B318&lt;'111'!$N$11),"x","")</f>
        <v/>
      </c>
      <c r="R318" s="49" t="str">
        <f>IF(ISERROR(FIND('112'!$M$9,G318,1)),"",IF((AND(FIND('112'!$M$9,G318,1)&gt;=1,$B318&gt;='112'!$N$8,$B318&lt;='112'!$O$8,OR($L318='112'!$I$6,$M318='112'!$I$6))),"x",""))</f>
        <v/>
      </c>
      <c r="S318" s="49" t="str">
        <f>IF(ISERROR(FIND('112'!$M$9,G318,1)),"",IF((AND(LEFT(G318,2)=LEFT('112'!$M$9,2),B318&lt;'112'!$N$8,$L318='112'!$I$6)),"x",""))</f>
        <v/>
      </c>
      <c r="T318" s="49" t="str">
        <f>IF(ISERROR(FIND('112'!$M$9,G318,1)),"",IF((AND(RIGHT(G318,2)=RIGHT('112'!$M$9,2),B318&lt;'112'!$N$8,$M318='112'!$I$6)),"x",""))</f>
        <v/>
      </c>
      <c r="U318" s="49" t="str">
        <f>IF(AND(L318="154",'154'!$O$5&lt;=B318,'154'!$P$5&gt;=B318),"154",IF(AND(L318="632",'632'!$L$5&lt;=B318,'632'!$M$5&gt;=B318),"632",IF(AND(L318="642",'642'!$N$5&lt;=B318,'642'!$O$5&gt;=B318),"642",IF(AND(L318="641",'641'!$N$5&lt;=B318,'641'!$O$5&gt;=B318),"641",""))))</f>
        <v/>
      </c>
      <c r="V318" s="49" t="str">
        <f>IF(OR(TH!L318=TH!$V$7,M318=TH!$V$7),"x","")</f>
        <v/>
      </c>
      <c r="W318" s="49" t="str">
        <f>IF(AND(B318&gt;='IN-NX'!$P$3,B318&lt;='IN-NX'!$Q$3,'IN-NX'!$D$7=D318,OR(LEFT(L318,2)="15",AND(LEFT(M318,2)&lt;&gt;"15",LEFT(M318,2)&lt;&gt;"33"))),"x","")</f>
        <v/>
      </c>
      <c r="X318" s="49" t="str">
        <f>IF(AND(OR(LEFT(TH!L318,2)="15",LEFT(TH!M318,2)="15"),'152-CT'!$J$8=TH!F318),"x","")</f>
        <v/>
      </c>
      <c r="Y318" s="49" t="str">
        <f>IF(AND(OR(LEFT(TH!L318,2)="15",LEFT(TH!M318,2)="15"),TK!$E$7=TH!F318),"x","")</f>
        <v/>
      </c>
      <c r="Z318" s="49" t="str">
        <f>IF(AND(B318&lt;=NKC!$N$8,B318&gt;=NKC!$M$8),"x","")</f>
        <v/>
      </c>
      <c r="AA318" s="723"/>
      <c r="AB318" s="497"/>
    </row>
    <row r="319" spans="1:28" s="199" customFormat="1" ht="15.75" hidden="1" customHeight="1">
      <c r="A319" s="724" t="str">
        <f>IF(B319&lt;&gt;"",IF(AND(B319&gt;=_TM1,B319&lt;=_TM2,OR(TH!L319="1111",TH!M319="1111")),TH!D319,""),"")</f>
        <v/>
      </c>
      <c r="B319" s="36">
        <f t="shared" si="21"/>
        <v>12</v>
      </c>
      <c r="C319" s="185">
        <f t="shared" si="23"/>
        <v>41274</v>
      </c>
      <c r="D319" s="185" t="s">
        <v>631</v>
      </c>
      <c r="E319" s="185">
        <v>41274</v>
      </c>
      <c r="F319" s="186" t="s">
        <v>574</v>
      </c>
      <c r="G319" s="732"/>
      <c r="H319" s="187" t="s">
        <v>630</v>
      </c>
      <c r="I319" s="247">
        <v>500</v>
      </c>
      <c r="J319" s="247">
        <v>4454.2781841490087</v>
      </c>
      <c r="K319" s="505">
        <f t="shared" si="22"/>
        <v>2227139</v>
      </c>
      <c r="L319" s="506" t="s">
        <v>162</v>
      </c>
      <c r="M319" s="506" t="s">
        <v>375</v>
      </c>
      <c r="N319" s="49" t="str">
        <f>IF(AND('331-CT'!$E$7=TH!H319,OR(L319="331",M319="331")),"331",IF(AND(OR(L319="131",M319="131"),H319='131-CT'!$E$7),"131",""))</f>
        <v/>
      </c>
      <c r="O319" s="49" t="str">
        <f>IF(AND($B319&gt;='111'!$N$11,$B319&lt;='111'!$O$11,OR($L319=$O$7,$M319=$O$7)),"x","")</f>
        <v/>
      </c>
      <c r="P319" s="49" t="str">
        <f>IF(AND($L319=$O$7,$B319&lt;'111'!$N$11),"x","")</f>
        <v/>
      </c>
      <c r="Q319" s="49" t="str">
        <f>IF(AND($M319=$O$7,$B319&lt;'111'!$N$11),"x","")</f>
        <v/>
      </c>
      <c r="R319" s="49" t="str">
        <f>IF(ISERROR(FIND('112'!$M$9,G319,1)),"",IF((AND(FIND('112'!$M$9,G319,1)&gt;=1,$B319&gt;='112'!$N$8,$B319&lt;='112'!$O$8,OR($L319='112'!$I$6,$M319='112'!$I$6))),"x",""))</f>
        <v/>
      </c>
      <c r="S319" s="49" t="str">
        <f>IF(ISERROR(FIND('112'!$M$9,G319,1)),"",IF((AND(LEFT(G319,2)=LEFT('112'!$M$9,2),B319&lt;'112'!$N$8,$L319='112'!$I$6)),"x",""))</f>
        <v/>
      </c>
      <c r="T319" s="49" t="str">
        <f>IF(ISERROR(FIND('112'!$M$9,G319,1)),"",IF((AND(RIGHT(G319,2)=RIGHT('112'!$M$9,2),B319&lt;'112'!$N$8,$M319='112'!$I$6)),"x",""))</f>
        <v/>
      </c>
      <c r="U319" s="49" t="str">
        <f>IF(AND(L319="154",'154'!$O$5&lt;=B319,'154'!$P$5&gt;=B319),"154",IF(AND(L319="632",'632'!$L$5&lt;=B319,'632'!$M$5&gt;=B319),"632",IF(AND(L319="642",'642'!$N$5&lt;=B319,'642'!$O$5&gt;=B319),"642",IF(AND(L319="641",'641'!$N$5&lt;=B319,'641'!$O$5&gt;=B319),"641",""))))</f>
        <v/>
      </c>
      <c r="V319" s="49" t="str">
        <f>IF(OR(TH!L319=TH!$V$7,M319=TH!$V$7),"x","")</f>
        <v/>
      </c>
      <c r="W319" s="49" t="str">
        <f>IF(AND(B319&gt;='IN-NX'!$P$3,B319&lt;='IN-NX'!$Q$3,'IN-NX'!$D$7=D319,OR(LEFT(L319,2)="15",AND(LEFT(M319,2)&lt;&gt;"15",LEFT(M319,2)&lt;&gt;"33"))),"x","")</f>
        <v/>
      </c>
      <c r="X319" s="49" t="str">
        <f>IF(AND(OR(LEFT(TH!L319,2)="15",LEFT(TH!M319,2)="15"),'152-CT'!$J$8=TH!F319),"x","")</f>
        <v/>
      </c>
      <c r="Y319" s="49" t="str">
        <f>IF(AND(OR(LEFT(TH!L319,2)="15",LEFT(TH!M319,2)="15"),TK!$E$7=TH!F319),"x","")</f>
        <v/>
      </c>
      <c r="Z319" s="49" t="str">
        <f>IF(AND(B319&lt;=NKC!$N$8,B319&gt;=NKC!$M$8),"x","")</f>
        <v/>
      </c>
      <c r="AA319" s="723"/>
      <c r="AB319" s="497"/>
    </row>
    <row r="320" spans="1:28" s="199" customFormat="1" ht="15.75" hidden="1" customHeight="1">
      <c r="A320" s="724" t="str">
        <f>IF(B320&lt;&gt;"",IF(AND(B320&gt;=_TM1,B320&lt;=_TM2,OR(TH!L320="1111",TH!M320="1111")),TH!D320,""),"")</f>
        <v/>
      </c>
      <c r="B320" s="36">
        <f t="shared" si="21"/>
        <v>12</v>
      </c>
      <c r="C320" s="185">
        <f t="shared" si="23"/>
        <v>41274</v>
      </c>
      <c r="D320" s="185" t="s">
        <v>631</v>
      </c>
      <c r="E320" s="185">
        <v>41274</v>
      </c>
      <c r="F320" s="186" t="s">
        <v>550</v>
      </c>
      <c r="G320" s="732"/>
      <c r="H320" s="187" t="s">
        <v>630</v>
      </c>
      <c r="I320" s="247">
        <v>2000</v>
      </c>
      <c r="J320" s="247">
        <v>5987.2781841490087</v>
      </c>
      <c r="K320" s="505">
        <f t="shared" si="22"/>
        <v>11974556</v>
      </c>
      <c r="L320" s="506" t="s">
        <v>162</v>
      </c>
      <c r="M320" s="506" t="s">
        <v>375</v>
      </c>
      <c r="N320" s="49" t="str">
        <f>IF(AND('331-CT'!$E$7=TH!H320,OR(L320="331",M320="331")),"331",IF(AND(OR(L320="131",M320="131"),H320='131-CT'!$E$7),"131",""))</f>
        <v/>
      </c>
      <c r="O320" s="49" t="str">
        <f>IF(AND($B320&gt;='111'!$N$11,$B320&lt;='111'!$O$11,OR($L320=$O$7,$M320=$O$7)),"x","")</f>
        <v/>
      </c>
      <c r="P320" s="49" t="str">
        <f>IF(AND($L320=$O$7,$B320&lt;'111'!$N$11),"x","")</f>
        <v/>
      </c>
      <c r="Q320" s="49" t="str">
        <f>IF(AND($M320=$O$7,$B320&lt;'111'!$N$11),"x","")</f>
        <v/>
      </c>
      <c r="R320" s="49" t="str">
        <f>IF(ISERROR(FIND('112'!$M$9,G320,1)),"",IF((AND(FIND('112'!$M$9,G320,1)&gt;=1,$B320&gt;='112'!$N$8,$B320&lt;='112'!$O$8,OR($L320='112'!$I$6,$M320='112'!$I$6))),"x",""))</f>
        <v/>
      </c>
      <c r="S320" s="49" t="str">
        <f>IF(ISERROR(FIND('112'!$M$9,G320,1)),"",IF((AND(LEFT(G320,2)=LEFT('112'!$M$9,2),B320&lt;'112'!$N$8,$L320='112'!$I$6)),"x",""))</f>
        <v/>
      </c>
      <c r="T320" s="49" t="str">
        <f>IF(ISERROR(FIND('112'!$M$9,G320,1)),"",IF((AND(RIGHT(G320,2)=RIGHT('112'!$M$9,2),B320&lt;'112'!$N$8,$M320='112'!$I$6)),"x",""))</f>
        <v/>
      </c>
      <c r="U320" s="49" t="str">
        <f>IF(AND(L320="154",'154'!$O$5&lt;=B320,'154'!$P$5&gt;=B320),"154",IF(AND(L320="632",'632'!$L$5&lt;=B320,'632'!$M$5&gt;=B320),"632",IF(AND(L320="642",'642'!$N$5&lt;=B320,'642'!$O$5&gt;=B320),"642",IF(AND(L320="641",'641'!$N$5&lt;=B320,'641'!$O$5&gt;=B320),"641",""))))</f>
        <v/>
      </c>
      <c r="V320" s="49" t="str">
        <f>IF(OR(TH!L320=TH!$V$7,M320=TH!$V$7),"x","")</f>
        <v/>
      </c>
      <c r="W320" s="49" t="str">
        <f>IF(AND(B320&gt;='IN-NX'!$P$3,B320&lt;='IN-NX'!$Q$3,'IN-NX'!$D$7=D320,OR(LEFT(L320,2)="15",AND(LEFT(M320,2)&lt;&gt;"15",LEFT(M320,2)&lt;&gt;"33"))),"x","")</f>
        <v/>
      </c>
      <c r="X320" s="49" t="str">
        <f>IF(AND(OR(LEFT(TH!L320,2)="15",LEFT(TH!M320,2)="15"),'152-CT'!$J$8=TH!F320),"x","")</f>
        <v/>
      </c>
      <c r="Y320" s="49" t="str">
        <f>IF(AND(OR(LEFT(TH!L320,2)="15",LEFT(TH!M320,2)="15"),TK!$E$7=TH!F320),"x","")</f>
        <v/>
      </c>
      <c r="Z320" s="49" t="str">
        <f>IF(AND(B320&lt;=NKC!$N$8,B320&gt;=NKC!$M$8),"x","")</f>
        <v/>
      </c>
      <c r="AA320" s="723"/>
      <c r="AB320" s="497"/>
    </row>
    <row r="321" spans="1:28" s="199" customFormat="1" ht="15.75" hidden="1" customHeight="1">
      <c r="A321" s="724" t="str">
        <f>IF(B321&lt;&gt;"",IF(AND(B321&gt;=_TM1,B321&lt;=_TM2,OR(TH!L321="1111",TH!M321="1111")),TH!D321,""),"")</f>
        <v/>
      </c>
      <c r="B321" s="36">
        <f t="shared" si="21"/>
        <v>12</v>
      </c>
      <c r="C321" s="185">
        <f t="shared" si="23"/>
        <v>41274</v>
      </c>
      <c r="D321" s="185" t="s">
        <v>631</v>
      </c>
      <c r="E321" s="185">
        <v>41274</v>
      </c>
      <c r="F321" s="186" t="s">
        <v>573</v>
      </c>
      <c r="G321" s="732"/>
      <c r="H321" s="187" t="s">
        <v>630</v>
      </c>
      <c r="I321" s="247">
        <v>350</v>
      </c>
      <c r="J321" s="247">
        <v>5449.2781841490087</v>
      </c>
      <c r="K321" s="505">
        <f t="shared" si="22"/>
        <v>1907247</v>
      </c>
      <c r="L321" s="506" t="s">
        <v>162</v>
      </c>
      <c r="M321" s="506" t="s">
        <v>375</v>
      </c>
      <c r="N321" s="49" t="str">
        <f>IF(AND('331-CT'!$E$7=TH!H321,OR(L321="331",M321="331")),"331",IF(AND(OR(L321="131",M321="131"),H321='131-CT'!$E$7),"131",""))</f>
        <v/>
      </c>
      <c r="O321" s="49" t="str">
        <f>IF(AND($B321&gt;='111'!$N$11,$B321&lt;='111'!$O$11,OR($L321=$O$7,$M321=$O$7)),"x","")</f>
        <v/>
      </c>
      <c r="P321" s="49" t="str">
        <f>IF(AND($L321=$O$7,$B321&lt;'111'!$N$11),"x","")</f>
        <v/>
      </c>
      <c r="Q321" s="49" t="str">
        <f>IF(AND($M321=$O$7,$B321&lt;'111'!$N$11),"x","")</f>
        <v/>
      </c>
      <c r="R321" s="49" t="str">
        <f>IF(ISERROR(FIND('112'!$M$9,G321,1)),"",IF((AND(FIND('112'!$M$9,G321,1)&gt;=1,$B321&gt;='112'!$N$8,$B321&lt;='112'!$O$8,OR($L321='112'!$I$6,$M321='112'!$I$6))),"x",""))</f>
        <v/>
      </c>
      <c r="S321" s="49" t="str">
        <f>IF(ISERROR(FIND('112'!$M$9,G321,1)),"",IF((AND(LEFT(G321,2)=LEFT('112'!$M$9,2),B321&lt;'112'!$N$8,$L321='112'!$I$6)),"x",""))</f>
        <v/>
      </c>
      <c r="T321" s="49" t="str">
        <f>IF(ISERROR(FIND('112'!$M$9,G321,1)),"",IF((AND(RIGHT(G321,2)=RIGHT('112'!$M$9,2),B321&lt;'112'!$N$8,$M321='112'!$I$6)),"x",""))</f>
        <v/>
      </c>
      <c r="U321" s="49" t="str">
        <f>IF(AND(L321="154",'154'!$O$5&lt;=B321,'154'!$P$5&gt;=B321),"154",IF(AND(L321="632",'632'!$L$5&lt;=B321,'632'!$M$5&gt;=B321),"632",IF(AND(L321="642",'642'!$N$5&lt;=B321,'642'!$O$5&gt;=B321),"642",IF(AND(L321="641",'641'!$N$5&lt;=B321,'641'!$O$5&gt;=B321),"641",""))))</f>
        <v/>
      </c>
      <c r="V321" s="49" t="str">
        <f>IF(OR(TH!L321=TH!$V$7,M321=TH!$V$7),"x","")</f>
        <v/>
      </c>
      <c r="W321" s="49" t="str">
        <f>IF(AND(B321&gt;='IN-NX'!$P$3,B321&lt;='IN-NX'!$Q$3,'IN-NX'!$D$7=D321,OR(LEFT(L321,2)="15",AND(LEFT(M321,2)&lt;&gt;"15",LEFT(M321,2)&lt;&gt;"33"))),"x","")</f>
        <v/>
      </c>
      <c r="X321" s="49" t="str">
        <f>IF(AND(OR(LEFT(TH!L321,2)="15",LEFT(TH!M321,2)="15"),'152-CT'!$J$8=TH!F321),"x","")</f>
        <v/>
      </c>
      <c r="Y321" s="49" t="str">
        <f>IF(AND(OR(LEFT(TH!L321,2)="15",LEFT(TH!M321,2)="15"),TK!$E$7=TH!F321),"x","")</f>
        <v/>
      </c>
      <c r="Z321" s="49" t="str">
        <f>IF(AND(B321&lt;=NKC!$N$8,B321&gt;=NKC!$M$8),"x","")</f>
        <v/>
      </c>
      <c r="AA321" s="723"/>
      <c r="AB321" s="497"/>
    </row>
    <row r="322" spans="1:28" s="199" customFormat="1" ht="15.75" hidden="1" customHeight="1">
      <c r="A322" s="724" t="str">
        <f>IF(B322&lt;&gt;"",IF(AND(B322&gt;=_TM1,B322&lt;=_TM2,OR(TH!L322="1111",TH!M322="1111")),TH!D322,""),"")</f>
        <v/>
      </c>
      <c r="B322" s="36">
        <f t="shared" si="21"/>
        <v>12</v>
      </c>
      <c r="C322" s="185">
        <f t="shared" si="23"/>
        <v>41274</v>
      </c>
      <c r="D322" s="185" t="s">
        <v>631</v>
      </c>
      <c r="E322" s="185">
        <v>41274</v>
      </c>
      <c r="F322" s="186" t="s">
        <v>583</v>
      </c>
      <c r="G322" s="732"/>
      <c r="H322" s="187" t="s">
        <v>630</v>
      </c>
      <c r="I322" s="247">
        <v>260</v>
      </c>
      <c r="J322" s="247">
        <v>19286.27818414901</v>
      </c>
      <c r="K322" s="505">
        <f t="shared" si="22"/>
        <v>5014432</v>
      </c>
      <c r="L322" s="506" t="s">
        <v>162</v>
      </c>
      <c r="M322" s="506" t="s">
        <v>375</v>
      </c>
      <c r="N322" s="49" t="str">
        <f>IF(AND('331-CT'!$E$7=TH!H322,OR(L322="331",M322="331")),"331",IF(AND(OR(L322="131",M322="131"),H322='131-CT'!$E$7),"131",""))</f>
        <v/>
      </c>
      <c r="O322" s="49" t="str">
        <f>IF(AND($B322&gt;='111'!$N$11,$B322&lt;='111'!$O$11,OR($L322=$O$7,$M322=$O$7)),"x","")</f>
        <v/>
      </c>
      <c r="P322" s="49" t="str">
        <f>IF(AND($L322=$O$7,$B322&lt;'111'!$N$11),"x","")</f>
        <v/>
      </c>
      <c r="Q322" s="49" t="str">
        <f>IF(AND($M322=$O$7,$B322&lt;'111'!$N$11),"x","")</f>
        <v/>
      </c>
      <c r="R322" s="49" t="str">
        <f>IF(ISERROR(FIND('112'!$M$9,G322,1)),"",IF((AND(FIND('112'!$M$9,G322,1)&gt;=1,$B322&gt;='112'!$N$8,$B322&lt;='112'!$O$8,OR($L322='112'!$I$6,$M322='112'!$I$6))),"x",""))</f>
        <v/>
      </c>
      <c r="S322" s="49" t="str">
        <f>IF(ISERROR(FIND('112'!$M$9,G322,1)),"",IF((AND(LEFT(G322,2)=LEFT('112'!$M$9,2),B322&lt;'112'!$N$8,$L322='112'!$I$6)),"x",""))</f>
        <v/>
      </c>
      <c r="T322" s="49" t="str">
        <f>IF(ISERROR(FIND('112'!$M$9,G322,1)),"",IF((AND(RIGHT(G322,2)=RIGHT('112'!$M$9,2),B322&lt;'112'!$N$8,$M322='112'!$I$6)),"x",""))</f>
        <v/>
      </c>
      <c r="U322" s="49" t="str">
        <f>IF(AND(L322="154",'154'!$O$5&lt;=B322,'154'!$P$5&gt;=B322),"154",IF(AND(L322="632",'632'!$L$5&lt;=B322,'632'!$M$5&gt;=B322),"632",IF(AND(L322="642",'642'!$N$5&lt;=B322,'642'!$O$5&gt;=B322),"642",IF(AND(L322="641",'641'!$N$5&lt;=B322,'641'!$O$5&gt;=B322),"641",""))))</f>
        <v/>
      </c>
      <c r="V322" s="49" t="str">
        <f>IF(OR(TH!L322=TH!$V$7,M322=TH!$V$7),"x","")</f>
        <v/>
      </c>
      <c r="W322" s="49" t="str">
        <f>IF(AND(B322&gt;='IN-NX'!$P$3,B322&lt;='IN-NX'!$Q$3,'IN-NX'!$D$7=D322,OR(LEFT(L322,2)="15",AND(LEFT(M322,2)&lt;&gt;"15",LEFT(M322,2)&lt;&gt;"33"))),"x","")</f>
        <v/>
      </c>
      <c r="X322" s="49" t="str">
        <f>IF(AND(OR(LEFT(TH!L322,2)="15",LEFT(TH!M322,2)="15"),'152-CT'!$J$8=TH!F322),"x","")</f>
        <v/>
      </c>
      <c r="Y322" s="49" t="str">
        <f>IF(AND(OR(LEFT(TH!L322,2)="15",LEFT(TH!M322,2)="15"),TK!$E$7=TH!F322),"x","")</f>
        <v/>
      </c>
      <c r="Z322" s="49" t="str">
        <f>IF(AND(B322&lt;=NKC!$N$8,B322&gt;=NKC!$M$8),"x","")</f>
        <v/>
      </c>
      <c r="AA322" s="723"/>
      <c r="AB322" s="497"/>
    </row>
    <row r="323" spans="1:28" s="199" customFormat="1" ht="15.75" hidden="1" customHeight="1">
      <c r="A323" s="724" t="str">
        <f>IF(B323&lt;&gt;"",IF(AND(B323&gt;=_TM1,B323&lt;=_TM2,OR(TH!L323="1111",TH!M323="1111")),TH!D323,""),"")</f>
        <v/>
      </c>
      <c r="B323" s="36">
        <f t="shared" si="20"/>
        <v>12</v>
      </c>
      <c r="C323" s="185">
        <f t="shared" si="23"/>
        <v>41274</v>
      </c>
      <c r="D323" s="185" t="s">
        <v>631</v>
      </c>
      <c r="E323" s="185">
        <v>41274</v>
      </c>
      <c r="F323" s="186" t="s">
        <v>562</v>
      </c>
      <c r="G323" s="732"/>
      <c r="H323" s="187" t="s">
        <v>630</v>
      </c>
      <c r="I323" s="247">
        <v>500</v>
      </c>
      <c r="J323" s="247">
        <v>10462.278184149009</v>
      </c>
      <c r="K323" s="505">
        <f t="shared" si="22"/>
        <v>5231139</v>
      </c>
      <c r="L323" s="506" t="s">
        <v>162</v>
      </c>
      <c r="M323" s="506" t="s">
        <v>375</v>
      </c>
      <c r="N323" s="49" t="str">
        <f>IF(AND('331-CT'!$E$7=TH!H323,OR(L323="331",M323="331")),"331",IF(AND(OR(L323="131",M323="131"),H323='131-CT'!$E$7),"131",""))</f>
        <v/>
      </c>
      <c r="O323" s="49" t="str">
        <f>IF(AND($B323&gt;='111'!$N$11,$B323&lt;='111'!$O$11,OR($L323=$O$7,$M323=$O$7)),"x","")</f>
        <v/>
      </c>
      <c r="P323" s="49" t="str">
        <f>IF(AND($L323=$O$7,$B323&lt;'111'!$N$11),"x","")</f>
        <v/>
      </c>
      <c r="Q323" s="49" t="str">
        <f>IF(AND($M323=$O$7,$B323&lt;'111'!$N$11),"x","")</f>
        <v/>
      </c>
      <c r="R323" s="49" t="str">
        <f>IF(ISERROR(FIND('112'!$M$9,G323,1)),"",IF((AND(FIND('112'!$M$9,G323,1)&gt;=1,$B323&gt;='112'!$N$8,$B323&lt;='112'!$O$8,OR($L323='112'!$I$6,$M323='112'!$I$6))),"x",""))</f>
        <v/>
      </c>
      <c r="S323" s="49" t="str">
        <f>IF(ISERROR(FIND('112'!$M$9,G323,1)),"",IF((AND(LEFT(G323,2)=LEFT('112'!$M$9,2),B323&lt;'112'!$N$8,$L323='112'!$I$6)),"x",""))</f>
        <v/>
      </c>
      <c r="T323" s="49" t="str">
        <f>IF(ISERROR(FIND('112'!$M$9,G323,1)),"",IF((AND(RIGHT(G323,2)=RIGHT('112'!$M$9,2),B323&lt;'112'!$N$8,$M323='112'!$I$6)),"x",""))</f>
        <v/>
      </c>
      <c r="U323" s="49" t="str">
        <f>IF(AND(L323="154",'154'!$O$5&lt;=B323,'154'!$P$5&gt;=B323),"154",IF(AND(L323="632",'632'!$L$5&lt;=B323,'632'!$M$5&gt;=B323),"632",IF(AND(L323="642",'642'!$N$5&lt;=B323,'642'!$O$5&gt;=B323),"642",IF(AND(L323="641",'641'!$N$5&lt;=B323,'641'!$O$5&gt;=B323),"641",""))))</f>
        <v/>
      </c>
      <c r="V323" s="49" t="str">
        <f>IF(OR(TH!L323=TH!$V$7,M323=TH!$V$7),"x","")</f>
        <v/>
      </c>
      <c r="W323" s="49" t="str">
        <f>IF(AND(B323&gt;='IN-NX'!$P$3,B323&lt;='IN-NX'!$Q$3,'IN-NX'!$D$7=D323,OR(LEFT(L323,2)="15",AND(LEFT(M323,2)&lt;&gt;"15",LEFT(M323,2)&lt;&gt;"33"))),"x","")</f>
        <v/>
      </c>
      <c r="X323" s="49" t="str">
        <f>IF(AND(OR(LEFT(TH!L323,2)="15",LEFT(TH!M323,2)="15"),'152-CT'!$J$8=TH!F323),"x","")</f>
        <v/>
      </c>
      <c r="Y323" s="49" t="str">
        <f>IF(AND(OR(LEFT(TH!L323,2)="15",LEFT(TH!M323,2)="15"),TK!$E$7=TH!F323),"x","")</f>
        <v/>
      </c>
      <c r="Z323" s="49" t="str">
        <f>IF(AND(B323&lt;=NKC!$N$8,B323&gt;=NKC!$M$8),"x","")</f>
        <v/>
      </c>
      <c r="AA323" s="723"/>
      <c r="AB323" s="497"/>
    </row>
    <row r="324" spans="1:28" s="199" customFormat="1" ht="15.75" hidden="1" customHeight="1">
      <c r="A324" s="724" t="str">
        <f>IF(B324&lt;&gt;"",IF(AND(B324&gt;=_TM1,B324&lt;=_TM2,OR(TH!L324="1111",TH!M324="1111")),TH!D324,""),"")</f>
        <v/>
      </c>
      <c r="B324" s="36" t="str">
        <f t="shared" si="20"/>
        <v/>
      </c>
      <c r="C324" s="185"/>
      <c r="D324" s="185"/>
      <c r="E324" s="185"/>
      <c r="F324" s="186"/>
      <c r="G324" s="732"/>
      <c r="H324" s="187"/>
      <c r="I324" s="247"/>
      <c r="J324" s="247"/>
      <c r="K324" s="505"/>
      <c r="L324" s="506"/>
      <c r="M324" s="506"/>
      <c r="N324" s="49" t="str">
        <f>IF(AND('331-CT'!$E$7=TH!H324,OR(L324="331",M324="331")),"331",IF(AND(OR(L324="131",M324="131"),H324='131-CT'!$E$7),"131",""))</f>
        <v/>
      </c>
      <c r="O324" s="49" t="str">
        <f>IF(AND($B324&gt;='111'!$N$11,$B324&lt;='111'!$O$11,OR($L324=$O$7,$M324=$O$7)),"x","")</f>
        <v/>
      </c>
      <c r="P324" s="49" t="str">
        <f>IF(AND($L324=$O$7,$B324&lt;'111'!$N$11),"x","")</f>
        <v/>
      </c>
      <c r="Q324" s="49" t="str">
        <f>IF(AND($M324=$O$7,$B324&lt;'111'!$N$11),"x","")</f>
        <v/>
      </c>
      <c r="R324" s="49" t="str">
        <f>IF(ISERROR(FIND('112'!$M$9,G324,1)),"",IF((AND(FIND('112'!$M$9,G324,1)&gt;=1,$B324&gt;='112'!$N$8,$B324&lt;='112'!$O$8,OR($L324='112'!$I$6,$M324='112'!$I$6))),"x",""))</f>
        <v/>
      </c>
      <c r="S324" s="49" t="str">
        <f>IF(ISERROR(FIND('112'!$M$9,G324,1)),"",IF((AND(LEFT(G324,2)=LEFT('112'!$M$9,2),B324&lt;'112'!$N$8,$L324='112'!$I$6)),"x",""))</f>
        <v/>
      </c>
      <c r="T324" s="49" t="str">
        <f>IF(ISERROR(FIND('112'!$M$9,G324,1)),"",IF((AND(RIGHT(G324,2)=RIGHT('112'!$M$9,2),B324&lt;'112'!$N$8,$M324='112'!$I$6)),"x",""))</f>
        <v/>
      </c>
      <c r="U324" s="49" t="str">
        <f>IF(AND(L324="154",'154'!$O$5&lt;=B324,'154'!$P$5&gt;=B324),"154",IF(AND(L324="632",'632'!$L$5&lt;=B324,'632'!$M$5&gt;=B324),"632",IF(AND(L324="642",'642'!$N$5&lt;=B324,'642'!$O$5&gt;=B324),"642",IF(AND(L324="641",'641'!$N$5&lt;=B324,'641'!$O$5&gt;=B324),"641",""))))</f>
        <v/>
      </c>
      <c r="V324" s="49" t="str">
        <f>IF(OR(TH!L324=TH!$V$7,M324=TH!$V$7),"x","")</f>
        <v/>
      </c>
      <c r="W324" s="49" t="str">
        <f>IF(AND(B324&gt;='IN-NX'!$P$3,B324&lt;='IN-NX'!$Q$3,'IN-NX'!$D$7=D324,OR(LEFT(L324,2)="15",AND(LEFT(M324,2)&lt;&gt;"15",LEFT(M324,2)&lt;&gt;"33"))),"x","")</f>
        <v/>
      </c>
      <c r="X324" s="49" t="str">
        <f>IF(AND(OR(LEFT(TH!L324,2)="15",LEFT(TH!M324,2)="15"),'152-CT'!$J$8=TH!F324),"x","")</f>
        <v/>
      </c>
      <c r="Y324" s="49" t="str">
        <f>IF(AND(OR(LEFT(TH!L324,2)="15",LEFT(TH!M324,2)="15"),TK!$E$7=TH!F324),"x","")</f>
        <v/>
      </c>
      <c r="Z324" s="49" t="str">
        <f>IF(AND(B324&lt;=NKC!$N$8,B324&gt;=NKC!$M$8),"x","")</f>
        <v/>
      </c>
      <c r="AA324" s="723"/>
      <c r="AB324" s="497"/>
    </row>
    <row r="325" spans="1:28" s="199" customFormat="1" ht="15.75" hidden="1" customHeight="1">
      <c r="A325" s="724" t="str">
        <f>IF(B325&lt;&gt;"",IF(AND(B325&gt;=_TM1,B325&lt;=_TM2,OR(TH!L325="1111",TH!M325="1111")),TH!D325,""),"")</f>
        <v/>
      </c>
      <c r="B325" s="36" t="str">
        <f t="shared" si="20"/>
        <v/>
      </c>
      <c r="C325" s="185"/>
      <c r="D325" s="185"/>
      <c r="E325" s="185"/>
      <c r="F325" s="186"/>
      <c r="G325" s="732"/>
      <c r="H325" s="187"/>
      <c r="I325" s="247"/>
      <c r="J325" s="247"/>
      <c r="K325" s="505"/>
      <c r="L325" s="506"/>
      <c r="M325" s="506"/>
      <c r="N325" s="49" t="str">
        <f>IF(AND('331-CT'!$E$7=TH!H325,OR(L325="331",M325="331")),"331",IF(AND(OR(L325="131",M325="131"),H325='131-CT'!$E$7),"131",""))</f>
        <v/>
      </c>
      <c r="O325" s="49" t="str">
        <f>IF(AND($B325&gt;='111'!$N$11,$B325&lt;='111'!$O$11,OR($L325=$O$7,$M325=$O$7)),"x","")</f>
        <v/>
      </c>
      <c r="P325" s="49" t="str">
        <f>IF(AND($L325=$O$7,$B325&lt;'111'!$N$11),"x","")</f>
        <v/>
      </c>
      <c r="Q325" s="49" t="str">
        <f>IF(AND($M325=$O$7,$B325&lt;'111'!$N$11),"x","")</f>
        <v/>
      </c>
      <c r="R325" s="49" t="str">
        <f>IF(ISERROR(FIND('112'!$M$9,G325,1)),"",IF((AND(FIND('112'!$M$9,G325,1)&gt;=1,$B325&gt;='112'!$N$8,$B325&lt;='112'!$O$8,OR($L325='112'!$I$6,$M325='112'!$I$6))),"x",""))</f>
        <v/>
      </c>
      <c r="S325" s="49" t="str">
        <f>IF(ISERROR(FIND('112'!$M$9,G325,1)),"",IF((AND(LEFT(G325,2)=LEFT('112'!$M$9,2),B325&lt;'112'!$N$8,$L325='112'!$I$6)),"x",""))</f>
        <v/>
      </c>
      <c r="T325" s="49" t="str">
        <f>IF(ISERROR(FIND('112'!$M$9,G325,1)),"",IF((AND(RIGHT(G325,2)=RIGHT('112'!$M$9,2),B325&lt;'112'!$N$8,$M325='112'!$I$6)),"x",""))</f>
        <v/>
      </c>
      <c r="U325" s="49" t="str">
        <f>IF(AND(L325="154",'154'!$O$5&lt;=B325,'154'!$P$5&gt;=B325),"154",IF(AND(L325="632",'632'!$L$5&lt;=B325,'632'!$M$5&gt;=B325),"632",IF(AND(L325="642",'642'!$N$5&lt;=B325,'642'!$O$5&gt;=B325),"642",IF(AND(L325="641",'641'!$N$5&lt;=B325,'641'!$O$5&gt;=B325),"641",""))))</f>
        <v/>
      </c>
      <c r="V325" s="49" t="str">
        <f>IF(OR(TH!L325=TH!$V$7,M325=TH!$V$7),"x","")</f>
        <v/>
      </c>
      <c r="W325" s="49" t="str">
        <f>IF(AND(B325&gt;='IN-NX'!$P$3,B325&lt;='IN-NX'!$Q$3,'IN-NX'!$D$7=D325,OR(LEFT(L325,2)="15",AND(LEFT(M325,2)&lt;&gt;"15",LEFT(M325,2)&lt;&gt;"33"))),"x","")</f>
        <v/>
      </c>
      <c r="X325" s="49" t="str">
        <f>IF(AND(OR(LEFT(TH!L325,2)="15",LEFT(TH!M325,2)="15"),'152-CT'!$J$8=TH!F325),"x","")</f>
        <v/>
      </c>
      <c r="Y325" s="49" t="str">
        <f>IF(AND(OR(LEFT(TH!L325,2)="15",LEFT(TH!M325,2)="15"),TK!$E$7=TH!F325),"x","")</f>
        <v/>
      </c>
      <c r="Z325" s="49" t="str">
        <f>IF(AND(B325&lt;=NKC!$N$8,B325&gt;=NKC!$M$8),"x","")</f>
        <v/>
      </c>
      <c r="AA325" s="723"/>
      <c r="AB325" s="497"/>
    </row>
    <row r="326" spans="1:28" s="199" customFormat="1">
      <c r="A326" s="194"/>
      <c r="G326" s="733"/>
      <c r="H326" s="687"/>
      <c r="I326" s="687"/>
      <c r="J326" s="687"/>
    </row>
    <row r="327" spans="1:28" s="199" customFormat="1">
      <c r="A327" s="194"/>
      <c r="G327" s="733"/>
      <c r="H327" s="687"/>
      <c r="I327" s="687"/>
      <c r="J327" s="687"/>
      <c r="K327" s="734">
        <f>SUBTOTAL(9,K10:K325)</f>
        <v>24549095</v>
      </c>
    </row>
  </sheetData>
  <autoFilter ref="A9:AD325">
    <filterColumn colId="11">
      <filters>
        <filter val="1331"/>
      </filters>
    </filterColumn>
  </autoFilter>
  <sortState ref="A26:AD243">
    <sortCondition ref="C26:C243"/>
  </sortState>
  <mergeCells count="19">
    <mergeCell ref="A7:A8"/>
    <mergeCell ref="B7:B8"/>
    <mergeCell ref="H7:H8"/>
    <mergeCell ref="V7:V8"/>
    <mergeCell ref="U7:U8"/>
    <mergeCell ref="O7:Q8"/>
    <mergeCell ref="N7:N8"/>
    <mergeCell ref="I7:J7"/>
    <mergeCell ref="Z7:Z8"/>
    <mergeCell ref="W7:Y8"/>
    <mergeCell ref="C4:M4"/>
    <mergeCell ref="C5:M5"/>
    <mergeCell ref="C7:C8"/>
    <mergeCell ref="D7:E7"/>
    <mergeCell ref="F7:F8"/>
    <mergeCell ref="K7:K8"/>
    <mergeCell ref="L7:M7"/>
    <mergeCell ref="G7:G8"/>
    <mergeCell ref="R7:T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 activeCell="E22" sqref="E22"/>
    </sheetView>
  </sheetViews>
  <sheetFormatPr defaultRowHeight="15.75"/>
  <cols>
    <col min="1" max="1" width="10" style="525" customWidth="1"/>
    <col min="2" max="2" width="9.28515625" style="525" customWidth="1"/>
    <col min="3" max="3" width="10" style="525" customWidth="1"/>
    <col min="4" max="4" width="41.42578125" style="525" customWidth="1"/>
    <col min="5" max="5" width="6" style="525" customWidth="1"/>
    <col min="6" max="6" width="7.85546875" style="525" customWidth="1"/>
    <col min="7" max="7" width="8.5703125" style="525" customWidth="1"/>
    <col min="8" max="8" width="13.85546875" style="525" customWidth="1"/>
    <col min="9" max="9" width="14.140625" style="525" customWidth="1"/>
    <col min="10" max="11" width="9.140625" style="525"/>
    <col min="12" max="12" width="3.5703125" style="525" customWidth="1"/>
    <col min="13" max="256" width="9.140625" style="525"/>
    <col min="257" max="257" width="13" style="525" customWidth="1"/>
    <col min="258" max="258" width="9.140625" style="525"/>
    <col min="259" max="259" width="13" style="525" customWidth="1"/>
    <col min="260" max="260" width="29.7109375" style="525" customWidth="1"/>
    <col min="261" max="261" width="7.7109375" style="525" customWidth="1"/>
    <col min="262" max="262" width="6" style="525" customWidth="1"/>
    <col min="263" max="263" width="11.5703125" style="525" customWidth="1"/>
    <col min="264" max="264" width="13.42578125" style="525" customWidth="1"/>
    <col min="265" max="265" width="13.85546875" style="525" customWidth="1"/>
    <col min="266" max="512" width="9.140625" style="525"/>
    <col min="513" max="513" width="13" style="525" customWidth="1"/>
    <col min="514" max="514" width="9.140625" style="525"/>
    <col min="515" max="515" width="13" style="525" customWidth="1"/>
    <col min="516" max="516" width="29.7109375" style="525" customWidth="1"/>
    <col min="517" max="517" width="7.7109375" style="525" customWidth="1"/>
    <col min="518" max="518" width="6" style="525" customWidth="1"/>
    <col min="519" max="519" width="11.5703125" style="525" customWidth="1"/>
    <col min="520" max="520" width="13.42578125" style="525" customWidth="1"/>
    <col min="521" max="521" width="13.85546875" style="525" customWidth="1"/>
    <col min="522" max="768" width="9.140625" style="525"/>
    <col min="769" max="769" width="13" style="525" customWidth="1"/>
    <col min="770" max="770" width="9.140625" style="525"/>
    <col min="771" max="771" width="13" style="525" customWidth="1"/>
    <col min="772" max="772" width="29.7109375" style="525" customWidth="1"/>
    <col min="773" max="773" width="7.7109375" style="525" customWidth="1"/>
    <col min="774" max="774" width="6" style="525" customWidth="1"/>
    <col min="775" max="775" width="11.5703125" style="525" customWidth="1"/>
    <col min="776" max="776" width="13.42578125" style="525" customWidth="1"/>
    <col min="777" max="777" width="13.85546875" style="525" customWidth="1"/>
    <col min="778" max="1024" width="9.140625" style="525"/>
    <col min="1025" max="1025" width="13" style="525" customWidth="1"/>
    <col min="1026" max="1026" width="9.140625" style="525"/>
    <col min="1027" max="1027" width="13" style="525" customWidth="1"/>
    <col min="1028" max="1028" width="29.7109375" style="525" customWidth="1"/>
    <col min="1029" max="1029" width="7.7109375" style="525" customWidth="1"/>
    <col min="1030" max="1030" width="6" style="525" customWidth="1"/>
    <col min="1031" max="1031" width="11.5703125" style="525" customWidth="1"/>
    <col min="1032" max="1032" width="13.42578125" style="525" customWidth="1"/>
    <col min="1033" max="1033" width="13.85546875" style="525" customWidth="1"/>
    <col min="1034" max="1280" width="9.140625" style="525"/>
    <col min="1281" max="1281" width="13" style="525" customWidth="1"/>
    <col min="1282" max="1282" width="9.140625" style="525"/>
    <col min="1283" max="1283" width="13" style="525" customWidth="1"/>
    <col min="1284" max="1284" width="29.7109375" style="525" customWidth="1"/>
    <col min="1285" max="1285" width="7.7109375" style="525" customWidth="1"/>
    <col min="1286" max="1286" width="6" style="525" customWidth="1"/>
    <col min="1287" max="1287" width="11.5703125" style="525" customWidth="1"/>
    <col min="1288" max="1288" width="13.42578125" style="525" customWidth="1"/>
    <col min="1289" max="1289" width="13.85546875" style="525" customWidth="1"/>
    <col min="1290" max="1536" width="9.140625" style="525"/>
    <col min="1537" max="1537" width="13" style="525" customWidth="1"/>
    <col min="1538" max="1538" width="9.140625" style="525"/>
    <col min="1539" max="1539" width="13" style="525" customWidth="1"/>
    <col min="1540" max="1540" width="29.7109375" style="525" customWidth="1"/>
    <col min="1541" max="1541" width="7.7109375" style="525" customWidth="1"/>
    <col min="1542" max="1542" width="6" style="525" customWidth="1"/>
    <col min="1543" max="1543" width="11.5703125" style="525" customWidth="1"/>
    <col min="1544" max="1544" width="13.42578125" style="525" customWidth="1"/>
    <col min="1545" max="1545" width="13.85546875" style="525" customWidth="1"/>
    <col min="1546" max="1792" width="9.140625" style="525"/>
    <col min="1793" max="1793" width="13" style="525" customWidth="1"/>
    <col min="1794" max="1794" width="9.140625" style="525"/>
    <col min="1795" max="1795" width="13" style="525" customWidth="1"/>
    <col min="1796" max="1796" width="29.7109375" style="525" customWidth="1"/>
    <col min="1797" max="1797" width="7.7109375" style="525" customWidth="1"/>
    <col min="1798" max="1798" width="6" style="525" customWidth="1"/>
    <col min="1799" max="1799" width="11.5703125" style="525" customWidth="1"/>
    <col min="1800" max="1800" width="13.42578125" style="525" customWidth="1"/>
    <col min="1801" max="1801" width="13.85546875" style="525" customWidth="1"/>
    <col min="1802" max="2048" width="9.140625" style="525"/>
    <col min="2049" max="2049" width="13" style="525" customWidth="1"/>
    <col min="2050" max="2050" width="9.140625" style="525"/>
    <col min="2051" max="2051" width="13" style="525" customWidth="1"/>
    <col min="2052" max="2052" width="29.7109375" style="525" customWidth="1"/>
    <col min="2053" max="2053" width="7.7109375" style="525" customWidth="1"/>
    <col min="2054" max="2054" width="6" style="525" customWidth="1"/>
    <col min="2055" max="2055" width="11.5703125" style="525" customWidth="1"/>
    <col min="2056" max="2056" width="13.42578125" style="525" customWidth="1"/>
    <col min="2057" max="2057" width="13.85546875" style="525" customWidth="1"/>
    <col min="2058" max="2304" width="9.140625" style="525"/>
    <col min="2305" max="2305" width="13" style="525" customWidth="1"/>
    <col min="2306" max="2306" width="9.140625" style="525"/>
    <col min="2307" max="2307" width="13" style="525" customWidth="1"/>
    <col min="2308" max="2308" width="29.7109375" style="525" customWidth="1"/>
    <col min="2309" max="2309" width="7.7109375" style="525" customWidth="1"/>
    <col min="2310" max="2310" width="6" style="525" customWidth="1"/>
    <col min="2311" max="2311" width="11.5703125" style="525" customWidth="1"/>
    <col min="2312" max="2312" width="13.42578125" style="525" customWidth="1"/>
    <col min="2313" max="2313" width="13.85546875" style="525" customWidth="1"/>
    <col min="2314" max="2560" width="9.140625" style="525"/>
    <col min="2561" max="2561" width="13" style="525" customWidth="1"/>
    <col min="2562" max="2562" width="9.140625" style="525"/>
    <col min="2563" max="2563" width="13" style="525" customWidth="1"/>
    <col min="2564" max="2564" width="29.7109375" style="525" customWidth="1"/>
    <col min="2565" max="2565" width="7.7109375" style="525" customWidth="1"/>
    <col min="2566" max="2566" width="6" style="525" customWidth="1"/>
    <col min="2567" max="2567" width="11.5703125" style="525" customWidth="1"/>
    <col min="2568" max="2568" width="13.42578125" style="525" customWidth="1"/>
    <col min="2569" max="2569" width="13.85546875" style="525" customWidth="1"/>
    <col min="2570" max="2816" width="9.140625" style="525"/>
    <col min="2817" max="2817" width="13" style="525" customWidth="1"/>
    <col min="2818" max="2818" width="9.140625" style="525"/>
    <col min="2819" max="2819" width="13" style="525" customWidth="1"/>
    <col min="2820" max="2820" width="29.7109375" style="525" customWidth="1"/>
    <col min="2821" max="2821" width="7.7109375" style="525" customWidth="1"/>
    <col min="2822" max="2822" width="6" style="525" customWidth="1"/>
    <col min="2823" max="2823" width="11.5703125" style="525" customWidth="1"/>
    <col min="2824" max="2824" width="13.42578125" style="525" customWidth="1"/>
    <col min="2825" max="2825" width="13.85546875" style="525" customWidth="1"/>
    <col min="2826" max="3072" width="9.140625" style="525"/>
    <col min="3073" max="3073" width="13" style="525" customWidth="1"/>
    <col min="3074" max="3074" width="9.140625" style="525"/>
    <col min="3075" max="3075" width="13" style="525" customWidth="1"/>
    <col min="3076" max="3076" width="29.7109375" style="525" customWidth="1"/>
    <col min="3077" max="3077" width="7.7109375" style="525" customWidth="1"/>
    <col min="3078" max="3078" width="6" style="525" customWidth="1"/>
    <col min="3079" max="3079" width="11.5703125" style="525" customWidth="1"/>
    <col min="3080" max="3080" width="13.42578125" style="525" customWidth="1"/>
    <col min="3081" max="3081" width="13.85546875" style="525" customWidth="1"/>
    <col min="3082" max="3328" width="9.140625" style="525"/>
    <col min="3329" max="3329" width="13" style="525" customWidth="1"/>
    <col min="3330" max="3330" width="9.140625" style="525"/>
    <col min="3331" max="3331" width="13" style="525" customWidth="1"/>
    <col min="3332" max="3332" width="29.7109375" style="525" customWidth="1"/>
    <col min="3333" max="3333" width="7.7109375" style="525" customWidth="1"/>
    <col min="3334" max="3334" width="6" style="525" customWidth="1"/>
    <col min="3335" max="3335" width="11.5703125" style="525" customWidth="1"/>
    <col min="3336" max="3336" width="13.42578125" style="525" customWidth="1"/>
    <col min="3337" max="3337" width="13.85546875" style="525" customWidth="1"/>
    <col min="3338" max="3584" width="9.140625" style="525"/>
    <col min="3585" max="3585" width="13" style="525" customWidth="1"/>
    <col min="3586" max="3586" width="9.140625" style="525"/>
    <col min="3587" max="3587" width="13" style="525" customWidth="1"/>
    <col min="3588" max="3588" width="29.7109375" style="525" customWidth="1"/>
    <col min="3589" max="3589" width="7.7109375" style="525" customWidth="1"/>
    <col min="3590" max="3590" width="6" style="525" customWidth="1"/>
    <col min="3591" max="3591" width="11.5703125" style="525" customWidth="1"/>
    <col min="3592" max="3592" width="13.42578125" style="525" customWidth="1"/>
    <col min="3593" max="3593" width="13.85546875" style="525" customWidth="1"/>
    <col min="3594" max="3840" width="9.140625" style="525"/>
    <col min="3841" max="3841" width="13" style="525" customWidth="1"/>
    <col min="3842" max="3842" width="9.140625" style="525"/>
    <col min="3843" max="3843" width="13" style="525" customWidth="1"/>
    <col min="3844" max="3844" width="29.7109375" style="525" customWidth="1"/>
    <col min="3845" max="3845" width="7.7109375" style="525" customWidth="1"/>
    <col min="3846" max="3846" width="6" style="525" customWidth="1"/>
    <col min="3847" max="3847" width="11.5703125" style="525" customWidth="1"/>
    <col min="3848" max="3848" width="13.42578125" style="525" customWidth="1"/>
    <col min="3849" max="3849" width="13.85546875" style="525" customWidth="1"/>
    <col min="3850" max="4096" width="9.140625" style="525"/>
    <col min="4097" max="4097" width="13" style="525" customWidth="1"/>
    <col min="4098" max="4098" width="9.140625" style="525"/>
    <col min="4099" max="4099" width="13" style="525" customWidth="1"/>
    <col min="4100" max="4100" width="29.7109375" style="525" customWidth="1"/>
    <col min="4101" max="4101" width="7.7109375" style="525" customWidth="1"/>
    <col min="4102" max="4102" width="6" style="525" customWidth="1"/>
    <col min="4103" max="4103" width="11.5703125" style="525" customWidth="1"/>
    <col min="4104" max="4104" width="13.42578125" style="525" customWidth="1"/>
    <col min="4105" max="4105" width="13.85546875" style="525" customWidth="1"/>
    <col min="4106" max="4352" width="9.140625" style="525"/>
    <col min="4353" max="4353" width="13" style="525" customWidth="1"/>
    <col min="4354" max="4354" width="9.140625" style="525"/>
    <col min="4355" max="4355" width="13" style="525" customWidth="1"/>
    <col min="4356" max="4356" width="29.7109375" style="525" customWidth="1"/>
    <col min="4357" max="4357" width="7.7109375" style="525" customWidth="1"/>
    <col min="4358" max="4358" width="6" style="525" customWidth="1"/>
    <col min="4359" max="4359" width="11.5703125" style="525" customWidth="1"/>
    <col min="4360" max="4360" width="13.42578125" style="525" customWidth="1"/>
    <col min="4361" max="4361" width="13.85546875" style="525" customWidth="1"/>
    <col min="4362" max="4608" width="9.140625" style="525"/>
    <col min="4609" max="4609" width="13" style="525" customWidth="1"/>
    <col min="4610" max="4610" width="9.140625" style="525"/>
    <col min="4611" max="4611" width="13" style="525" customWidth="1"/>
    <col min="4612" max="4612" width="29.7109375" style="525" customWidth="1"/>
    <col min="4613" max="4613" width="7.7109375" style="525" customWidth="1"/>
    <col min="4614" max="4614" width="6" style="525" customWidth="1"/>
    <col min="4615" max="4615" width="11.5703125" style="525" customWidth="1"/>
    <col min="4616" max="4616" width="13.42578125" style="525" customWidth="1"/>
    <col min="4617" max="4617" width="13.85546875" style="525" customWidth="1"/>
    <col min="4618" max="4864" width="9.140625" style="525"/>
    <col min="4865" max="4865" width="13" style="525" customWidth="1"/>
    <col min="4866" max="4866" width="9.140625" style="525"/>
    <col min="4867" max="4867" width="13" style="525" customWidth="1"/>
    <col min="4868" max="4868" width="29.7109375" style="525" customWidth="1"/>
    <col min="4869" max="4869" width="7.7109375" style="525" customWidth="1"/>
    <col min="4870" max="4870" width="6" style="525" customWidth="1"/>
    <col min="4871" max="4871" width="11.5703125" style="525" customWidth="1"/>
    <col min="4872" max="4872" width="13.42578125" style="525" customWidth="1"/>
    <col min="4873" max="4873" width="13.85546875" style="525" customWidth="1"/>
    <col min="4874" max="5120" width="9.140625" style="525"/>
    <col min="5121" max="5121" width="13" style="525" customWidth="1"/>
    <col min="5122" max="5122" width="9.140625" style="525"/>
    <col min="5123" max="5123" width="13" style="525" customWidth="1"/>
    <col min="5124" max="5124" width="29.7109375" style="525" customWidth="1"/>
    <col min="5125" max="5125" width="7.7109375" style="525" customWidth="1"/>
    <col min="5126" max="5126" width="6" style="525" customWidth="1"/>
    <col min="5127" max="5127" width="11.5703125" style="525" customWidth="1"/>
    <col min="5128" max="5128" width="13.42578125" style="525" customWidth="1"/>
    <col min="5129" max="5129" width="13.85546875" style="525" customWidth="1"/>
    <col min="5130" max="5376" width="9.140625" style="525"/>
    <col min="5377" max="5377" width="13" style="525" customWidth="1"/>
    <col min="5378" max="5378" width="9.140625" style="525"/>
    <col min="5379" max="5379" width="13" style="525" customWidth="1"/>
    <col min="5380" max="5380" width="29.7109375" style="525" customWidth="1"/>
    <col min="5381" max="5381" width="7.7109375" style="525" customWidth="1"/>
    <col min="5382" max="5382" width="6" style="525" customWidth="1"/>
    <col min="5383" max="5383" width="11.5703125" style="525" customWidth="1"/>
    <col min="5384" max="5384" width="13.42578125" style="525" customWidth="1"/>
    <col min="5385" max="5385" width="13.85546875" style="525" customWidth="1"/>
    <col min="5386" max="5632" width="9.140625" style="525"/>
    <col min="5633" max="5633" width="13" style="525" customWidth="1"/>
    <col min="5634" max="5634" width="9.140625" style="525"/>
    <col min="5635" max="5635" width="13" style="525" customWidth="1"/>
    <col min="5636" max="5636" width="29.7109375" style="525" customWidth="1"/>
    <col min="5637" max="5637" width="7.7109375" style="525" customWidth="1"/>
    <col min="5638" max="5638" width="6" style="525" customWidth="1"/>
    <col min="5639" max="5639" width="11.5703125" style="525" customWidth="1"/>
    <col min="5640" max="5640" width="13.42578125" style="525" customWidth="1"/>
    <col min="5641" max="5641" width="13.85546875" style="525" customWidth="1"/>
    <col min="5642" max="5888" width="9.140625" style="525"/>
    <col min="5889" max="5889" width="13" style="525" customWidth="1"/>
    <col min="5890" max="5890" width="9.140625" style="525"/>
    <col min="5891" max="5891" width="13" style="525" customWidth="1"/>
    <col min="5892" max="5892" width="29.7109375" style="525" customWidth="1"/>
    <col min="5893" max="5893" width="7.7109375" style="525" customWidth="1"/>
    <col min="5894" max="5894" width="6" style="525" customWidth="1"/>
    <col min="5895" max="5895" width="11.5703125" style="525" customWidth="1"/>
    <col min="5896" max="5896" width="13.42578125" style="525" customWidth="1"/>
    <col min="5897" max="5897" width="13.85546875" style="525" customWidth="1"/>
    <col min="5898" max="6144" width="9.140625" style="525"/>
    <col min="6145" max="6145" width="13" style="525" customWidth="1"/>
    <col min="6146" max="6146" width="9.140625" style="525"/>
    <col min="6147" max="6147" width="13" style="525" customWidth="1"/>
    <col min="6148" max="6148" width="29.7109375" style="525" customWidth="1"/>
    <col min="6149" max="6149" width="7.7109375" style="525" customWidth="1"/>
    <col min="6150" max="6150" width="6" style="525" customWidth="1"/>
    <col min="6151" max="6151" width="11.5703125" style="525" customWidth="1"/>
    <col min="6152" max="6152" width="13.42578125" style="525" customWidth="1"/>
    <col min="6153" max="6153" width="13.85546875" style="525" customWidth="1"/>
    <col min="6154" max="6400" width="9.140625" style="525"/>
    <col min="6401" max="6401" width="13" style="525" customWidth="1"/>
    <col min="6402" max="6402" width="9.140625" style="525"/>
    <col min="6403" max="6403" width="13" style="525" customWidth="1"/>
    <col min="6404" max="6404" width="29.7109375" style="525" customWidth="1"/>
    <col min="6405" max="6405" width="7.7109375" style="525" customWidth="1"/>
    <col min="6406" max="6406" width="6" style="525" customWidth="1"/>
    <col min="6407" max="6407" width="11.5703125" style="525" customWidth="1"/>
    <col min="6408" max="6408" width="13.42578125" style="525" customWidth="1"/>
    <col min="6409" max="6409" width="13.85546875" style="525" customWidth="1"/>
    <col min="6410" max="6656" width="9.140625" style="525"/>
    <col min="6657" max="6657" width="13" style="525" customWidth="1"/>
    <col min="6658" max="6658" width="9.140625" style="525"/>
    <col min="6659" max="6659" width="13" style="525" customWidth="1"/>
    <col min="6660" max="6660" width="29.7109375" style="525" customWidth="1"/>
    <col min="6661" max="6661" width="7.7109375" style="525" customWidth="1"/>
    <col min="6662" max="6662" width="6" style="525" customWidth="1"/>
    <col min="6663" max="6663" width="11.5703125" style="525" customWidth="1"/>
    <col min="6664" max="6664" width="13.42578125" style="525" customWidth="1"/>
    <col min="6665" max="6665" width="13.85546875" style="525" customWidth="1"/>
    <col min="6666" max="6912" width="9.140625" style="525"/>
    <col min="6913" max="6913" width="13" style="525" customWidth="1"/>
    <col min="6914" max="6914" width="9.140625" style="525"/>
    <col min="6915" max="6915" width="13" style="525" customWidth="1"/>
    <col min="6916" max="6916" width="29.7109375" style="525" customWidth="1"/>
    <col min="6917" max="6917" width="7.7109375" style="525" customWidth="1"/>
    <col min="6918" max="6918" width="6" style="525" customWidth="1"/>
    <col min="6919" max="6919" width="11.5703125" style="525" customWidth="1"/>
    <col min="6920" max="6920" width="13.42578125" style="525" customWidth="1"/>
    <col min="6921" max="6921" width="13.85546875" style="525" customWidth="1"/>
    <col min="6922" max="7168" width="9.140625" style="525"/>
    <col min="7169" max="7169" width="13" style="525" customWidth="1"/>
    <col min="7170" max="7170" width="9.140625" style="525"/>
    <col min="7171" max="7171" width="13" style="525" customWidth="1"/>
    <col min="7172" max="7172" width="29.7109375" style="525" customWidth="1"/>
    <col min="7173" max="7173" width="7.7109375" style="525" customWidth="1"/>
    <col min="7174" max="7174" width="6" style="525" customWidth="1"/>
    <col min="7175" max="7175" width="11.5703125" style="525" customWidth="1"/>
    <col min="7176" max="7176" width="13.42578125" style="525" customWidth="1"/>
    <col min="7177" max="7177" width="13.85546875" style="525" customWidth="1"/>
    <col min="7178" max="7424" width="9.140625" style="525"/>
    <col min="7425" max="7425" width="13" style="525" customWidth="1"/>
    <col min="7426" max="7426" width="9.140625" style="525"/>
    <col min="7427" max="7427" width="13" style="525" customWidth="1"/>
    <col min="7428" max="7428" width="29.7109375" style="525" customWidth="1"/>
    <col min="7429" max="7429" width="7.7109375" style="525" customWidth="1"/>
    <col min="7430" max="7430" width="6" style="525" customWidth="1"/>
    <col min="7431" max="7431" width="11.5703125" style="525" customWidth="1"/>
    <col min="7432" max="7432" width="13.42578125" style="525" customWidth="1"/>
    <col min="7433" max="7433" width="13.85546875" style="525" customWidth="1"/>
    <col min="7434" max="7680" width="9.140625" style="525"/>
    <col min="7681" max="7681" width="13" style="525" customWidth="1"/>
    <col min="7682" max="7682" width="9.140625" style="525"/>
    <col min="7683" max="7683" width="13" style="525" customWidth="1"/>
    <col min="7684" max="7684" width="29.7109375" style="525" customWidth="1"/>
    <col min="7685" max="7685" width="7.7109375" style="525" customWidth="1"/>
    <col min="7686" max="7686" width="6" style="525" customWidth="1"/>
    <col min="7687" max="7687" width="11.5703125" style="525" customWidth="1"/>
    <col min="7688" max="7688" width="13.42578125" style="525" customWidth="1"/>
    <col min="7689" max="7689" width="13.85546875" style="525" customWidth="1"/>
    <col min="7690" max="7936" width="9.140625" style="525"/>
    <col min="7937" max="7937" width="13" style="525" customWidth="1"/>
    <col min="7938" max="7938" width="9.140625" style="525"/>
    <col min="7939" max="7939" width="13" style="525" customWidth="1"/>
    <col min="7940" max="7940" width="29.7109375" style="525" customWidth="1"/>
    <col min="7941" max="7941" width="7.7109375" style="525" customWidth="1"/>
    <col min="7942" max="7942" width="6" style="525" customWidth="1"/>
    <col min="7943" max="7943" width="11.5703125" style="525" customWidth="1"/>
    <col min="7944" max="7944" width="13.42578125" style="525" customWidth="1"/>
    <col min="7945" max="7945" width="13.85546875" style="525" customWidth="1"/>
    <col min="7946" max="8192" width="9.140625" style="525"/>
    <col min="8193" max="8193" width="13" style="525" customWidth="1"/>
    <col min="8194" max="8194" width="9.140625" style="525"/>
    <col min="8195" max="8195" width="13" style="525" customWidth="1"/>
    <col min="8196" max="8196" width="29.7109375" style="525" customWidth="1"/>
    <col min="8197" max="8197" width="7.7109375" style="525" customWidth="1"/>
    <col min="8198" max="8198" width="6" style="525" customWidth="1"/>
    <col min="8199" max="8199" width="11.5703125" style="525" customWidth="1"/>
    <col min="8200" max="8200" width="13.42578125" style="525" customWidth="1"/>
    <col min="8201" max="8201" width="13.85546875" style="525" customWidth="1"/>
    <col min="8202" max="8448" width="9.140625" style="525"/>
    <col min="8449" max="8449" width="13" style="525" customWidth="1"/>
    <col min="8450" max="8450" width="9.140625" style="525"/>
    <col min="8451" max="8451" width="13" style="525" customWidth="1"/>
    <col min="8452" max="8452" width="29.7109375" style="525" customWidth="1"/>
    <col min="8453" max="8453" width="7.7109375" style="525" customWidth="1"/>
    <col min="8454" max="8454" width="6" style="525" customWidth="1"/>
    <col min="8455" max="8455" width="11.5703125" style="525" customWidth="1"/>
    <col min="8456" max="8456" width="13.42578125" style="525" customWidth="1"/>
    <col min="8457" max="8457" width="13.85546875" style="525" customWidth="1"/>
    <col min="8458" max="8704" width="9.140625" style="525"/>
    <col min="8705" max="8705" width="13" style="525" customWidth="1"/>
    <col min="8706" max="8706" width="9.140625" style="525"/>
    <col min="8707" max="8707" width="13" style="525" customWidth="1"/>
    <col min="8708" max="8708" width="29.7109375" style="525" customWidth="1"/>
    <col min="8709" max="8709" width="7.7109375" style="525" customWidth="1"/>
    <col min="8710" max="8710" width="6" style="525" customWidth="1"/>
    <col min="8711" max="8711" width="11.5703125" style="525" customWidth="1"/>
    <col min="8712" max="8712" width="13.42578125" style="525" customWidth="1"/>
    <col min="8713" max="8713" width="13.85546875" style="525" customWidth="1"/>
    <col min="8714" max="8960" width="9.140625" style="525"/>
    <col min="8961" max="8961" width="13" style="525" customWidth="1"/>
    <col min="8962" max="8962" width="9.140625" style="525"/>
    <col min="8963" max="8963" width="13" style="525" customWidth="1"/>
    <col min="8964" max="8964" width="29.7109375" style="525" customWidth="1"/>
    <col min="8965" max="8965" width="7.7109375" style="525" customWidth="1"/>
    <col min="8966" max="8966" width="6" style="525" customWidth="1"/>
    <col min="8967" max="8967" width="11.5703125" style="525" customWidth="1"/>
    <col min="8968" max="8968" width="13.42578125" style="525" customWidth="1"/>
    <col min="8969" max="8969" width="13.85546875" style="525" customWidth="1"/>
    <col min="8970" max="9216" width="9.140625" style="525"/>
    <col min="9217" max="9217" width="13" style="525" customWidth="1"/>
    <col min="9218" max="9218" width="9.140625" style="525"/>
    <col min="9219" max="9219" width="13" style="525" customWidth="1"/>
    <col min="9220" max="9220" width="29.7109375" style="525" customWidth="1"/>
    <col min="9221" max="9221" width="7.7109375" style="525" customWidth="1"/>
    <col min="9222" max="9222" width="6" style="525" customWidth="1"/>
    <col min="9223" max="9223" width="11.5703125" style="525" customWidth="1"/>
    <col min="9224" max="9224" width="13.42578125" style="525" customWidth="1"/>
    <col min="9225" max="9225" width="13.85546875" style="525" customWidth="1"/>
    <col min="9226" max="9472" width="9.140625" style="525"/>
    <col min="9473" max="9473" width="13" style="525" customWidth="1"/>
    <col min="9474" max="9474" width="9.140625" style="525"/>
    <col min="9475" max="9475" width="13" style="525" customWidth="1"/>
    <col min="9476" max="9476" width="29.7109375" style="525" customWidth="1"/>
    <col min="9477" max="9477" width="7.7109375" style="525" customWidth="1"/>
    <col min="9478" max="9478" width="6" style="525" customWidth="1"/>
    <col min="9479" max="9479" width="11.5703125" style="525" customWidth="1"/>
    <col min="9480" max="9480" width="13.42578125" style="525" customWidth="1"/>
    <col min="9481" max="9481" width="13.85546875" style="525" customWidth="1"/>
    <col min="9482" max="9728" width="9.140625" style="525"/>
    <col min="9729" max="9729" width="13" style="525" customWidth="1"/>
    <col min="9730" max="9730" width="9.140625" style="525"/>
    <col min="9731" max="9731" width="13" style="525" customWidth="1"/>
    <col min="9732" max="9732" width="29.7109375" style="525" customWidth="1"/>
    <col min="9733" max="9733" width="7.7109375" style="525" customWidth="1"/>
    <col min="9734" max="9734" width="6" style="525" customWidth="1"/>
    <col min="9735" max="9735" width="11.5703125" style="525" customWidth="1"/>
    <col min="9736" max="9736" width="13.42578125" style="525" customWidth="1"/>
    <col min="9737" max="9737" width="13.85546875" style="525" customWidth="1"/>
    <col min="9738" max="9984" width="9.140625" style="525"/>
    <col min="9985" max="9985" width="13" style="525" customWidth="1"/>
    <col min="9986" max="9986" width="9.140625" style="525"/>
    <col min="9987" max="9987" width="13" style="525" customWidth="1"/>
    <col min="9988" max="9988" width="29.7109375" style="525" customWidth="1"/>
    <col min="9989" max="9989" width="7.7109375" style="525" customWidth="1"/>
    <col min="9990" max="9990" width="6" style="525" customWidth="1"/>
    <col min="9991" max="9991" width="11.5703125" style="525" customWidth="1"/>
    <col min="9992" max="9992" width="13.42578125" style="525" customWidth="1"/>
    <col min="9993" max="9993" width="13.85546875" style="525" customWidth="1"/>
    <col min="9994" max="10240" width="9.140625" style="525"/>
    <col min="10241" max="10241" width="13" style="525" customWidth="1"/>
    <col min="10242" max="10242" width="9.140625" style="525"/>
    <col min="10243" max="10243" width="13" style="525" customWidth="1"/>
    <col min="10244" max="10244" width="29.7109375" style="525" customWidth="1"/>
    <col min="10245" max="10245" width="7.7109375" style="525" customWidth="1"/>
    <col min="10246" max="10246" width="6" style="525" customWidth="1"/>
    <col min="10247" max="10247" width="11.5703125" style="525" customWidth="1"/>
    <col min="10248" max="10248" width="13.42578125" style="525" customWidth="1"/>
    <col min="10249" max="10249" width="13.85546875" style="525" customWidth="1"/>
    <col min="10250" max="10496" width="9.140625" style="525"/>
    <col min="10497" max="10497" width="13" style="525" customWidth="1"/>
    <col min="10498" max="10498" width="9.140625" style="525"/>
    <col min="10499" max="10499" width="13" style="525" customWidth="1"/>
    <col min="10500" max="10500" width="29.7109375" style="525" customWidth="1"/>
    <col min="10501" max="10501" width="7.7109375" style="525" customWidth="1"/>
    <col min="10502" max="10502" width="6" style="525" customWidth="1"/>
    <col min="10503" max="10503" width="11.5703125" style="525" customWidth="1"/>
    <col min="10504" max="10504" width="13.42578125" style="525" customWidth="1"/>
    <col min="10505" max="10505" width="13.85546875" style="525" customWidth="1"/>
    <col min="10506" max="10752" width="9.140625" style="525"/>
    <col min="10753" max="10753" width="13" style="525" customWidth="1"/>
    <col min="10754" max="10754" width="9.140625" style="525"/>
    <col min="10755" max="10755" width="13" style="525" customWidth="1"/>
    <col min="10756" max="10756" width="29.7109375" style="525" customWidth="1"/>
    <col min="10757" max="10757" width="7.7109375" style="525" customWidth="1"/>
    <col min="10758" max="10758" width="6" style="525" customWidth="1"/>
    <col min="10759" max="10759" width="11.5703125" style="525" customWidth="1"/>
    <col min="10760" max="10760" width="13.42578125" style="525" customWidth="1"/>
    <col min="10761" max="10761" width="13.85546875" style="525" customWidth="1"/>
    <col min="10762" max="11008" width="9.140625" style="525"/>
    <col min="11009" max="11009" width="13" style="525" customWidth="1"/>
    <col min="11010" max="11010" width="9.140625" style="525"/>
    <col min="11011" max="11011" width="13" style="525" customWidth="1"/>
    <col min="11012" max="11012" width="29.7109375" style="525" customWidth="1"/>
    <col min="11013" max="11013" width="7.7109375" style="525" customWidth="1"/>
    <col min="11014" max="11014" width="6" style="525" customWidth="1"/>
    <col min="11015" max="11015" width="11.5703125" style="525" customWidth="1"/>
    <col min="11016" max="11016" width="13.42578125" style="525" customWidth="1"/>
    <col min="11017" max="11017" width="13.85546875" style="525" customWidth="1"/>
    <col min="11018" max="11264" width="9.140625" style="525"/>
    <col min="11265" max="11265" width="13" style="525" customWidth="1"/>
    <col min="11266" max="11266" width="9.140625" style="525"/>
    <col min="11267" max="11267" width="13" style="525" customWidth="1"/>
    <col min="11268" max="11268" width="29.7109375" style="525" customWidth="1"/>
    <col min="11269" max="11269" width="7.7109375" style="525" customWidth="1"/>
    <col min="11270" max="11270" width="6" style="525" customWidth="1"/>
    <col min="11271" max="11271" width="11.5703125" style="525" customWidth="1"/>
    <col min="11272" max="11272" width="13.42578125" style="525" customWidth="1"/>
    <col min="11273" max="11273" width="13.85546875" style="525" customWidth="1"/>
    <col min="11274" max="11520" width="9.140625" style="525"/>
    <col min="11521" max="11521" width="13" style="525" customWidth="1"/>
    <col min="11522" max="11522" width="9.140625" style="525"/>
    <col min="11523" max="11523" width="13" style="525" customWidth="1"/>
    <col min="11524" max="11524" width="29.7109375" style="525" customWidth="1"/>
    <col min="11525" max="11525" width="7.7109375" style="525" customWidth="1"/>
    <col min="11526" max="11526" width="6" style="525" customWidth="1"/>
    <col min="11527" max="11527" width="11.5703125" style="525" customWidth="1"/>
    <col min="11528" max="11528" width="13.42578125" style="525" customWidth="1"/>
    <col min="11529" max="11529" width="13.85546875" style="525" customWidth="1"/>
    <col min="11530" max="11776" width="9.140625" style="525"/>
    <col min="11777" max="11777" width="13" style="525" customWidth="1"/>
    <col min="11778" max="11778" width="9.140625" style="525"/>
    <col min="11779" max="11779" width="13" style="525" customWidth="1"/>
    <col min="11780" max="11780" width="29.7109375" style="525" customWidth="1"/>
    <col min="11781" max="11781" width="7.7109375" style="525" customWidth="1"/>
    <col min="11782" max="11782" width="6" style="525" customWidth="1"/>
    <col min="11783" max="11783" width="11.5703125" style="525" customWidth="1"/>
    <col min="11784" max="11784" width="13.42578125" style="525" customWidth="1"/>
    <col min="11785" max="11785" width="13.85546875" style="525" customWidth="1"/>
    <col min="11786" max="12032" width="9.140625" style="525"/>
    <col min="12033" max="12033" width="13" style="525" customWidth="1"/>
    <col min="12034" max="12034" width="9.140625" style="525"/>
    <col min="12035" max="12035" width="13" style="525" customWidth="1"/>
    <col min="12036" max="12036" width="29.7109375" style="525" customWidth="1"/>
    <col min="12037" max="12037" width="7.7109375" style="525" customWidth="1"/>
    <col min="12038" max="12038" width="6" style="525" customWidth="1"/>
    <col min="12039" max="12039" width="11.5703125" style="525" customWidth="1"/>
    <col min="12040" max="12040" width="13.42578125" style="525" customWidth="1"/>
    <col min="12041" max="12041" width="13.85546875" style="525" customWidth="1"/>
    <col min="12042" max="12288" width="9.140625" style="525"/>
    <col min="12289" max="12289" width="13" style="525" customWidth="1"/>
    <col min="12290" max="12290" width="9.140625" style="525"/>
    <col min="12291" max="12291" width="13" style="525" customWidth="1"/>
    <col min="12292" max="12292" width="29.7109375" style="525" customWidth="1"/>
    <col min="12293" max="12293" width="7.7109375" style="525" customWidth="1"/>
    <col min="12294" max="12294" width="6" style="525" customWidth="1"/>
    <col min="12295" max="12295" width="11.5703125" style="525" customWidth="1"/>
    <col min="12296" max="12296" width="13.42578125" style="525" customWidth="1"/>
    <col min="12297" max="12297" width="13.85546875" style="525" customWidth="1"/>
    <col min="12298" max="12544" width="9.140625" style="525"/>
    <col min="12545" max="12545" width="13" style="525" customWidth="1"/>
    <col min="12546" max="12546" width="9.140625" style="525"/>
    <col min="12547" max="12547" width="13" style="525" customWidth="1"/>
    <col min="12548" max="12548" width="29.7109375" style="525" customWidth="1"/>
    <col min="12549" max="12549" width="7.7109375" style="525" customWidth="1"/>
    <col min="12550" max="12550" width="6" style="525" customWidth="1"/>
    <col min="12551" max="12551" width="11.5703125" style="525" customWidth="1"/>
    <col min="12552" max="12552" width="13.42578125" style="525" customWidth="1"/>
    <col min="12553" max="12553" width="13.85546875" style="525" customWidth="1"/>
    <col min="12554" max="12800" width="9.140625" style="525"/>
    <col min="12801" max="12801" width="13" style="525" customWidth="1"/>
    <col min="12802" max="12802" width="9.140625" style="525"/>
    <col min="12803" max="12803" width="13" style="525" customWidth="1"/>
    <col min="12804" max="12804" width="29.7109375" style="525" customWidth="1"/>
    <col min="12805" max="12805" width="7.7109375" style="525" customWidth="1"/>
    <col min="12806" max="12806" width="6" style="525" customWidth="1"/>
    <col min="12807" max="12807" width="11.5703125" style="525" customWidth="1"/>
    <col min="12808" max="12808" width="13.42578125" style="525" customWidth="1"/>
    <col min="12809" max="12809" width="13.85546875" style="525" customWidth="1"/>
    <col min="12810" max="13056" width="9.140625" style="525"/>
    <col min="13057" max="13057" width="13" style="525" customWidth="1"/>
    <col min="13058" max="13058" width="9.140625" style="525"/>
    <col min="13059" max="13059" width="13" style="525" customWidth="1"/>
    <col min="13060" max="13060" width="29.7109375" style="525" customWidth="1"/>
    <col min="13061" max="13061" width="7.7109375" style="525" customWidth="1"/>
    <col min="13062" max="13062" width="6" style="525" customWidth="1"/>
    <col min="13063" max="13063" width="11.5703125" style="525" customWidth="1"/>
    <col min="13064" max="13064" width="13.42578125" style="525" customWidth="1"/>
    <col min="13065" max="13065" width="13.85546875" style="525" customWidth="1"/>
    <col min="13066" max="13312" width="9.140625" style="525"/>
    <col min="13313" max="13313" width="13" style="525" customWidth="1"/>
    <col min="13314" max="13314" width="9.140625" style="525"/>
    <col min="13315" max="13315" width="13" style="525" customWidth="1"/>
    <col min="13316" max="13316" width="29.7109375" style="525" customWidth="1"/>
    <col min="13317" max="13317" width="7.7109375" style="525" customWidth="1"/>
    <col min="13318" max="13318" width="6" style="525" customWidth="1"/>
    <col min="13319" max="13319" width="11.5703125" style="525" customWidth="1"/>
    <col min="13320" max="13320" width="13.42578125" style="525" customWidth="1"/>
    <col min="13321" max="13321" width="13.85546875" style="525" customWidth="1"/>
    <col min="13322" max="13568" width="9.140625" style="525"/>
    <col min="13569" max="13569" width="13" style="525" customWidth="1"/>
    <col min="13570" max="13570" width="9.140625" style="525"/>
    <col min="13571" max="13571" width="13" style="525" customWidth="1"/>
    <col min="13572" max="13572" width="29.7109375" style="525" customWidth="1"/>
    <col min="13573" max="13573" width="7.7109375" style="525" customWidth="1"/>
    <col min="13574" max="13574" width="6" style="525" customWidth="1"/>
    <col min="13575" max="13575" width="11.5703125" style="525" customWidth="1"/>
    <col min="13576" max="13576" width="13.42578125" style="525" customWidth="1"/>
    <col min="13577" max="13577" width="13.85546875" style="525" customWidth="1"/>
    <col min="13578" max="13824" width="9.140625" style="525"/>
    <col min="13825" max="13825" width="13" style="525" customWidth="1"/>
    <col min="13826" max="13826" width="9.140625" style="525"/>
    <col min="13827" max="13827" width="13" style="525" customWidth="1"/>
    <col min="13828" max="13828" width="29.7109375" style="525" customWidth="1"/>
    <col min="13829" max="13829" width="7.7109375" style="525" customWidth="1"/>
    <col min="13830" max="13830" width="6" style="525" customWidth="1"/>
    <col min="13831" max="13831" width="11.5703125" style="525" customWidth="1"/>
    <col min="13832" max="13832" width="13.42578125" style="525" customWidth="1"/>
    <col min="13833" max="13833" width="13.85546875" style="525" customWidth="1"/>
    <col min="13834" max="14080" width="9.140625" style="525"/>
    <col min="14081" max="14081" width="13" style="525" customWidth="1"/>
    <col min="14082" max="14082" width="9.140625" style="525"/>
    <col min="14083" max="14083" width="13" style="525" customWidth="1"/>
    <col min="14084" max="14084" width="29.7109375" style="525" customWidth="1"/>
    <col min="14085" max="14085" width="7.7109375" style="525" customWidth="1"/>
    <col min="14086" max="14086" width="6" style="525" customWidth="1"/>
    <col min="14087" max="14087" width="11.5703125" style="525" customWidth="1"/>
    <col min="14088" max="14088" width="13.42578125" style="525" customWidth="1"/>
    <col min="14089" max="14089" width="13.85546875" style="525" customWidth="1"/>
    <col min="14090" max="14336" width="9.140625" style="525"/>
    <col min="14337" max="14337" width="13" style="525" customWidth="1"/>
    <col min="14338" max="14338" width="9.140625" style="525"/>
    <col min="14339" max="14339" width="13" style="525" customWidth="1"/>
    <col min="14340" max="14340" width="29.7109375" style="525" customWidth="1"/>
    <col min="14341" max="14341" width="7.7109375" style="525" customWidth="1"/>
    <col min="14342" max="14342" width="6" style="525" customWidth="1"/>
    <col min="14343" max="14343" width="11.5703125" style="525" customWidth="1"/>
    <col min="14344" max="14344" width="13.42578125" style="525" customWidth="1"/>
    <col min="14345" max="14345" width="13.85546875" style="525" customWidth="1"/>
    <col min="14346" max="14592" width="9.140625" style="525"/>
    <col min="14593" max="14593" width="13" style="525" customWidth="1"/>
    <col min="14594" max="14594" width="9.140625" style="525"/>
    <col min="14595" max="14595" width="13" style="525" customWidth="1"/>
    <col min="14596" max="14596" width="29.7109375" style="525" customWidth="1"/>
    <col min="14597" max="14597" width="7.7109375" style="525" customWidth="1"/>
    <col min="14598" max="14598" width="6" style="525" customWidth="1"/>
    <col min="14599" max="14599" width="11.5703125" style="525" customWidth="1"/>
    <col min="14600" max="14600" width="13.42578125" style="525" customWidth="1"/>
    <col min="14601" max="14601" width="13.85546875" style="525" customWidth="1"/>
    <col min="14602" max="14848" width="9.140625" style="525"/>
    <col min="14849" max="14849" width="13" style="525" customWidth="1"/>
    <col min="14850" max="14850" width="9.140625" style="525"/>
    <col min="14851" max="14851" width="13" style="525" customWidth="1"/>
    <col min="14852" max="14852" width="29.7109375" style="525" customWidth="1"/>
    <col min="14853" max="14853" width="7.7109375" style="525" customWidth="1"/>
    <col min="14854" max="14854" width="6" style="525" customWidth="1"/>
    <col min="14855" max="14855" width="11.5703125" style="525" customWidth="1"/>
    <col min="14856" max="14856" width="13.42578125" style="525" customWidth="1"/>
    <col min="14857" max="14857" width="13.85546875" style="525" customWidth="1"/>
    <col min="14858" max="15104" width="9.140625" style="525"/>
    <col min="15105" max="15105" width="13" style="525" customWidth="1"/>
    <col min="15106" max="15106" width="9.140625" style="525"/>
    <col min="15107" max="15107" width="13" style="525" customWidth="1"/>
    <col min="15108" max="15108" width="29.7109375" style="525" customWidth="1"/>
    <col min="15109" max="15109" width="7.7109375" style="525" customWidth="1"/>
    <col min="15110" max="15110" width="6" style="525" customWidth="1"/>
    <col min="15111" max="15111" width="11.5703125" style="525" customWidth="1"/>
    <col min="15112" max="15112" width="13.42578125" style="525" customWidth="1"/>
    <col min="15113" max="15113" width="13.85546875" style="525" customWidth="1"/>
    <col min="15114" max="15360" width="9.140625" style="525"/>
    <col min="15361" max="15361" width="13" style="525" customWidth="1"/>
    <col min="15362" max="15362" width="9.140625" style="525"/>
    <col min="15363" max="15363" width="13" style="525" customWidth="1"/>
    <col min="15364" max="15364" width="29.7109375" style="525" customWidth="1"/>
    <col min="15365" max="15365" width="7.7109375" style="525" customWidth="1"/>
    <col min="15366" max="15366" width="6" style="525" customWidth="1"/>
    <col min="15367" max="15367" width="11.5703125" style="525" customWidth="1"/>
    <col min="15368" max="15368" width="13.42578125" style="525" customWidth="1"/>
    <col min="15369" max="15369" width="13.85546875" style="525" customWidth="1"/>
    <col min="15370" max="15616" width="9.140625" style="525"/>
    <col min="15617" max="15617" width="13" style="525" customWidth="1"/>
    <col min="15618" max="15618" width="9.140625" style="525"/>
    <col min="15619" max="15619" width="13" style="525" customWidth="1"/>
    <col min="15620" max="15620" width="29.7109375" style="525" customWidth="1"/>
    <col min="15621" max="15621" width="7.7109375" style="525" customWidth="1"/>
    <col min="15622" max="15622" width="6" style="525" customWidth="1"/>
    <col min="15623" max="15623" width="11.5703125" style="525" customWidth="1"/>
    <col min="15624" max="15624" width="13.42578125" style="525" customWidth="1"/>
    <col min="15625" max="15625" width="13.85546875" style="525" customWidth="1"/>
    <col min="15626" max="15872" width="9.140625" style="525"/>
    <col min="15873" max="15873" width="13" style="525" customWidth="1"/>
    <col min="15874" max="15874" width="9.140625" style="525"/>
    <col min="15875" max="15875" width="13" style="525" customWidth="1"/>
    <col min="15876" max="15876" width="29.7109375" style="525" customWidth="1"/>
    <col min="15877" max="15877" width="7.7109375" style="525" customWidth="1"/>
    <col min="15878" max="15878" width="6" style="525" customWidth="1"/>
    <col min="15879" max="15879" width="11.5703125" style="525" customWidth="1"/>
    <col min="15880" max="15880" width="13.42578125" style="525" customWidth="1"/>
    <col min="15881" max="15881" width="13.85546875" style="525" customWidth="1"/>
    <col min="15882" max="16128" width="9.140625" style="525"/>
    <col min="16129" max="16129" width="13" style="525" customWidth="1"/>
    <col min="16130" max="16130" width="9.140625" style="525"/>
    <col min="16131" max="16131" width="13" style="525" customWidth="1"/>
    <col min="16132" max="16132" width="29.7109375" style="525" customWidth="1"/>
    <col min="16133" max="16133" width="7.7109375" style="525" customWidth="1"/>
    <col min="16134" max="16134" width="6" style="525" customWidth="1"/>
    <col min="16135" max="16135" width="11.5703125" style="525" customWidth="1"/>
    <col min="16136" max="16136" width="13.42578125" style="525" customWidth="1"/>
    <col min="16137" max="16137" width="13.85546875" style="525" customWidth="1"/>
    <col min="16138" max="16384" width="9.140625" style="525"/>
  </cols>
  <sheetData>
    <row r="1" spans="1:14">
      <c r="A1" s="524" t="str">
        <f>TH!A1</f>
        <v>Đơn vị: CÔNG TY TNHH MỘT THÀNH VIÊN KHỞI NGUYÊN AN</v>
      </c>
      <c r="F1" s="771" t="s">
        <v>276</v>
      </c>
      <c r="G1" s="771"/>
      <c r="H1" s="771"/>
      <c r="I1" s="771"/>
    </row>
    <row r="2" spans="1:14">
      <c r="A2" s="525" t="str">
        <f>TH!A2</f>
        <v>Địa chỉ: Thửa đất số 144, tờ bản đồ số 12TĐH.1, tổ 1, khu phố Đông Tác, Phường Tân Đông Hiệp, Thị Xã Dĩ An, Tỉnh Bình Dương, Việt Nam</v>
      </c>
      <c r="F2" s="770" t="str">
        <f ca="1">IF(YEAR($A$11)&gt;=2015,"(Ban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770"/>
      <c r="H2" s="770"/>
      <c r="I2" s="770"/>
    </row>
    <row r="3" spans="1:14">
      <c r="F3" s="770"/>
      <c r="G3" s="770"/>
      <c r="H3" s="770"/>
      <c r="I3" s="770"/>
    </row>
    <row r="4" spans="1:14">
      <c r="H4" s="526"/>
      <c r="I4" s="526"/>
    </row>
    <row r="5" spans="1:14" ht="26.25" customHeight="1">
      <c r="B5" s="527"/>
      <c r="C5" s="527"/>
      <c r="D5" s="528" t="s">
        <v>277</v>
      </c>
      <c r="E5" s="527"/>
      <c r="F5" s="527"/>
      <c r="G5" s="527"/>
      <c r="H5" s="527"/>
      <c r="I5" s="527"/>
      <c r="J5" s="527"/>
      <c r="K5" s="527"/>
    </row>
    <row r="6" spans="1:14">
      <c r="B6" s="529"/>
      <c r="C6" s="529"/>
      <c r="D6" s="530" t="str">
        <f ca="1">$K$9&amp;"   -   Năm:  " &amp;YEAR(A11)</f>
        <v>Quý III   -   Năm:  2012</v>
      </c>
      <c r="E6" s="529"/>
      <c r="F6" s="529"/>
      <c r="G6" s="529"/>
      <c r="H6" s="529"/>
      <c r="I6" s="529"/>
      <c r="J6" s="529"/>
      <c r="K6" s="529"/>
    </row>
    <row r="7" spans="1:14">
      <c r="A7" s="531"/>
      <c r="B7" s="531"/>
      <c r="C7" s="531"/>
      <c r="D7" s="531"/>
      <c r="E7" s="531"/>
      <c r="F7" s="531"/>
      <c r="G7" s="531"/>
      <c r="H7" s="774" t="s">
        <v>123</v>
      </c>
      <c r="I7" s="774"/>
      <c r="J7" s="531"/>
      <c r="K7" s="531"/>
      <c r="M7" s="773" t="s">
        <v>269</v>
      </c>
      <c r="N7" s="773"/>
    </row>
    <row r="8" spans="1:14" s="696" customFormat="1" ht="23.25" customHeight="1" thickBot="1">
      <c r="A8" s="775" t="s">
        <v>278</v>
      </c>
      <c r="B8" s="777" t="s">
        <v>1</v>
      </c>
      <c r="C8" s="778"/>
      <c r="D8" s="779" t="s">
        <v>0</v>
      </c>
      <c r="E8" s="775" t="s">
        <v>279</v>
      </c>
      <c r="F8" s="772" t="s">
        <v>94</v>
      </c>
      <c r="G8" s="772"/>
      <c r="H8" s="777" t="s">
        <v>21</v>
      </c>
      <c r="I8" s="778"/>
      <c r="J8" s="695"/>
      <c r="K8" s="695"/>
      <c r="M8" s="697">
        <f>IF(K9="Quý I",1,IF(K9="Quý II",4,IF(K9="Quý III",7,IF(K9="Quý IV",10,""))))</f>
        <v>7</v>
      </c>
      <c r="N8" s="697">
        <f>IF(K9="Quý I",3,IF(K9="Quý II",6,IF(K9="Quý III",9,IF(K9="Quý IV",12,""))))</f>
        <v>9</v>
      </c>
    </row>
    <row r="9" spans="1:14" s="696" customFormat="1" ht="28.5" customHeight="1" thickBot="1">
      <c r="A9" s="776"/>
      <c r="B9" s="698" t="s">
        <v>15</v>
      </c>
      <c r="C9" s="698" t="s">
        <v>32</v>
      </c>
      <c r="D9" s="780"/>
      <c r="E9" s="776"/>
      <c r="F9" s="699" t="s">
        <v>22</v>
      </c>
      <c r="G9" s="699" t="s">
        <v>23</v>
      </c>
      <c r="H9" s="698" t="s">
        <v>280</v>
      </c>
      <c r="I9" s="698" t="s">
        <v>23</v>
      </c>
      <c r="K9" s="625" t="s">
        <v>335</v>
      </c>
    </row>
    <row r="10" spans="1:14" s="696" customFormat="1" ht="21" customHeight="1">
      <c r="A10" s="700"/>
      <c r="B10" s="700"/>
      <c r="C10" s="700"/>
      <c r="D10" s="701" t="s">
        <v>283</v>
      </c>
      <c r="E10" s="702"/>
      <c r="F10" s="700"/>
      <c r="G10" s="700"/>
      <c r="H10" s="703">
        <f>SUMIF(_M,"&lt;"&amp;$M$8,TH)</f>
        <v>0</v>
      </c>
      <c r="I10" s="703">
        <f>SUMIF(_M,"&lt;"&amp;$M$8,TH)</f>
        <v>0</v>
      </c>
    </row>
    <row r="11" spans="1:14" s="696" customFormat="1" ht="21" customHeight="1">
      <c r="A11" s="704">
        <f ca="1">IF(ROWS($1:1)&gt;COUNT(Dong6),"",OFFSET(TH!C$1,SMALL(Dong6,ROWS($1:1)),))</f>
        <v>41122</v>
      </c>
      <c r="B11" s="705" t="str">
        <f ca="1">IF(ROWS($1:1)&gt;COUNT(Dong6),"",OFFSET(TH!D$1,SMALL(Dong6,ROWS($1:1)),))</f>
        <v>T01</v>
      </c>
      <c r="C11" s="704">
        <f ca="1">IF(ROWS($1:1)&gt;COUNT(Dong6),"",OFFSET(TH!E$1,SMALL(Dong6,ROWS($1:1)),))</f>
        <v>41122</v>
      </c>
      <c r="D11" s="706" t="str">
        <f ca="1">IF(ROWS($1:1)&gt;COUNT(Dong6),"",OFFSET(TH!F$1,SMALL(Dong6,ROWS($1:1)),))</f>
        <v>Thu vốn góp</v>
      </c>
      <c r="E11" s="705">
        <f t="shared" ref="E11:E40" ca="1" si="0">IF(D11&lt;&gt;"",ROW()-10,"")</f>
        <v>1</v>
      </c>
      <c r="F11" s="707" t="str">
        <f ca="1">IF(ROWS($1:1)&gt;COUNT(Dong6),"",OFFSET(TH!L$1,SMALL(Dong6,ROWS($1:1)),))</f>
        <v>1111</v>
      </c>
      <c r="G11" s="707" t="str">
        <f ca="1">IF(ROWS($1:1)&gt;COUNT(Dong6),"",OFFSET(TH!M$1,SMALL(Dong6,ROWS($1:1)),))</f>
        <v>4111</v>
      </c>
      <c r="H11" s="610">
        <f ca="1">IF(ROWS($1:1)&gt;COUNT(Dong6),"",OFFSET(TH!K$1,SMALL(Dong6,ROWS($1:1)),))</f>
        <v>2500000000</v>
      </c>
      <c r="I11" s="610">
        <f ca="1">IF(ROWS($1:1)&gt;COUNT(Dong6),"",OFFSET(TH!K$1,SMALL(Dong6,ROWS($1:1)),))</f>
        <v>2500000000</v>
      </c>
    </row>
    <row r="12" spans="1:14" s="696" customFormat="1" ht="21" customHeight="1">
      <c r="A12" s="704">
        <f ca="1">IF(ROWS($1:2)&gt;COUNT(Dong6),"",OFFSET(TH!C$1,SMALL(Dong6,ROWS($1:2)),))</f>
        <v>41131</v>
      </c>
      <c r="B12" s="705" t="str">
        <f ca="1">IF(ROWS($1:2)&gt;COUNT(Dong6),"",OFFSET(TH!D$1,SMALL(Dong6,ROWS($1:2)),))</f>
        <v>C01</v>
      </c>
      <c r="C12" s="704">
        <f ca="1">IF(ROWS($1:2)&gt;COUNT(Dong6),"",OFFSET(TH!E$1,SMALL(Dong6,ROWS($1:2)),))</f>
        <v>41131</v>
      </c>
      <c r="D12" s="706" t="str">
        <f ca="1">IF(ROWS($1:2)&gt;COUNT(Dong6),"",OFFSET(TH!F$1,SMALL(Dong6,ROWS($1:2)),))</f>
        <v>Nộp tiền mặt vào tài khoản</v>
      </c>
      <c r="E12" s="705">
        <f t="shared" ca="1" si="0"/>
        <v>2</v>
      </c>
      <c r="F12" s="707" t="str">
        <f ca="1">IF(ROWS($1:2)&gt;COUNT(Dong6),"",OFFSET(TH!L$1,SMALL(Dong6,ROWS($1:2)),))</f>
        <v>1121</v>
      </c>
      <c r="G12" s="707" t="str">
        <f ca="1">IF(ROWS($1:2)&gt;COUNT(Dong6),"",OFFSET(TH!M$1,SMALL(Dong6,ROWS($1:2)),))</f>
        <v>1111</v>
      </c>
      <c r="H12" s="610">
        <f ca="1">IF(ROWS($1:2)&gt;COUNT(Dong6),"",OFFSET(TH!K$1,SMALL(Dong6,ROWS($1:2)),))</f>
        <v>1000000</v>
      </c>
      <c r="I12" s="610">
        <f ca="1">IF(ROWS($1:2)&gt;COUNT(Dong6),"",OFFSET(TH!K$1,SMALL(Dong6,ROWS($1:2)),))</f>
        <v>1000000</v>
      </c>
    </row>
    <row r="13" spans="1:14" s="696" customFormat="1" ht="21" customHeight="1">
      <c r="A13" s="704">
        <f ca="1">IF(ROWS($1:3)&gt;COUNT(Dong6),"",OFFSET(TH!C$1,SMALL(Dong6,ROWS($1:3)),))</f>
        <v>41136</v>
      </c>
      <c r="B13" s="705" t="str">
        <f ca="1">IF(ROWS($1:3)&gt;COUNT(Dong6),"",OFFSET(TH!D$1,SMALL(Dong6,ROWS($1:3)),))</f>
        <v>C02</v>
      </c>
      <c r="C13" s="704">
        <f ca="1">IF(ROWS($1:3)&gt;COUNT(Dong6),"",OFFSET(TH!E$1,SMALL(Dong6,ROWS($1:3)),))</f>
        <v>41136</v>
      </c>
      <c r="D13" s="706" t="str">
        <f ca="1">IF(ROWS($1:3)&gt;COUNT(Dong6),"",OFFSET(TH!F$1,SMALL(Dong6,ROWS($1:3)),))</f>
        <v>Dây mạ kẽm</v>
      </c>
      <c r="E13" s="705">
        <f t="shared" ca="1" si="0"/>
        <v>3</v>
      </c>
      <c r="F13" s="707" t="str">
        <f ca="1">IF(ROWS($1:3)&gt;COUNT(Dong6),"",OFFSET(TH!L$1,SMALL(Dong6,ROWS($1:3)),))</f>
        <v>154</v>
      </c>
      <c r="G13" s="707" t="str">
        <f ca="1">IF(ROWS($1:3)&gt;COUNT(Dong6),"",OFFSET(TH!M$1,SMALL(Dong6,ROWS($1:3)),))</f>
        <v>1111</v>
      </c>
      <c r="H13" s="610">
        <f ca="1">IF(ROWS($1:3)&gt;COUNT(Dong6),"",OFFSET(TH!K$1,SMALL(Dong6,ROWS($1:3)),))</f>
        <v>2580000</v>
      </c>
      <c r="I13" s="610">
        <f ca="1">IF(ROWS($1:3)&gt;COUNT(Dong6),"",OFFSET(TH!K$1,SMALL(Dong6,ROWS($1:3)),))</f>
        <v>2580000</v>
      </c>
    </row>
    <row r="14" spans="1:14" s="696" customFormat="1" ht="21" customHeight="1">
      <c r="A14" s="704">
        <f ca="1">IF(ROWS($1:4)&gt;COUNT(Dong6),"",OFFSET(TH!C$1,SMALL(Dong6,ROWS($1:4)),))</f>
        <v>41136</v>
      </c>
      <c r="B14" s="705" t="str">
        <f ca="1">IF(ROWS($1:4)&gt;COUNT(Dong6),"",OFFSET(TH!D$1,SMALL(Dong6,ROWS($1:4)),))</f>
        <v>C02</v>
      </c>
      <c r="C14" s="704">
        <f ca="1">IF(ROWS($1:4)&gt;COUNT(Dong6),"",OFFSET(TH!E$1,SMALL(Dong6,ROWS($1:4)),))</f>
        <v>41136</v>
      </c>
      <c r="D14" s="706" t="str">
        <f ca="1">IF(ROWS($1:4)&gt;COUNT(Dong6),"",OFFSET(TH!F$1,SMALL(Dong6,ROWS($1:4)),))</f>
        <v>VAT Dây mạ kẽm</v>
      </c>
      <c r="E14" s="705">
        <f t="shared" ca="1" si="0"/>
        <v>4</v>
      </c>
      <c r="F14" s="707" t="str">
        <f ca="1">IF(ROWS($1:4)&gt;COUNT(Dong6),"",OFFSET(TH!L$1,SMALL(Dong6,ROWS($1:4)),))</f>
        <v>1331</v>
      </c>
      <c r="G14" s="707" t="str">
        <f ca="1">IF(ROWS($1:4)&gt;COUNT(Dong6),"",OFFSET(TH!M$1,SMALL(Dong6,ROWS($1:4)),))</f>
        <v>1111</v>
      </c>
      <c r="H14" s="610">
        <f ca="1">IF(ROWS($1:4)&gt;COUNT(Dong6),"",OFFSET(TH!K$1,SMALL(Dong6,ROWS($1:4)),))</f>
        <v>258000</v>
      </c>
      <c r="I14" s="610">
        <f ca="1">IF(ROWS($1:4)&gt;COUNT(Dong6),"",OFFSET(TH!K$1,SMALL(Dong6,ROWS($1:4)),))</f>
        <v>258000</v>
      </c>
    </row>
    <row r="15" spans="1:14" s="696" customFormat="1" ht="21" customHeight="1">
      <c r="A15" s="704">
        <f ca="1">IF(ROWS($1:5)&gt;COUNT(Dong6),"",OFFSET(TH!C$1,SMALL(Dong6,ROWS($1:5)),))</f>
        <v>41142</v>
      </c>
      <c r="B15" s="705" t="str">
        <f ca="1">IF(ROWS($1:5)&gt;COUNT(Dong6),"",OFFSET(TH!D$1,SMALL(Dong6,ROWS($1:5)),))</f>
        <v>C03</v>
      </c>
      <c r="C15" s="704">
        <f ca="1">IF(ROWS($1:5)&gt;COUNT(Dong6),"",OFFSET(TH!E$1,SMALL(Dong6,ROWS($1:5)),))</f>
        <v>41142</v>
      </c>
      <c r="D15" s="706" t="str">
        <f ca="1">IF(ROWS($1:5)&gt;COUNT(Dong6),"",OFFSET(TH!F$1,SMALL(Dong6,ROWS($1:5)),))</f>
        <v>Tiền đặt in hóa đơn</v>
      </c>
      <c r="E15" s="705">
        <f t="shared" ca="1" si="0"/>
        <v>5</v>
      </c>
      <c r="F15" s="707" t="str">
        <f ca="1">IF(ROWS($1:5)&gt;COUNT(Dong6),"",OFFSET(TH!L$1,SMALL(Dong6,ROWS($1:5)),))</f>
        <v>642</v>
      </c>
      <c r="G15" s="707" t="str">
        <f ca="1">IF(ROWS($1:5)&gt;COUNT(Dong6),"",OFFSET(TH!M$1,SMALL(Dong6,ROWS($1:5)),))</f>
        <v>1111</v>
      </c>
      <c r="H15" s="610">
        <f ca="1">IF(ROWS($1:5)&gt;COUNT(Dong6),"",OFFSET(TH!K$1,SMALL(Dong6,ROWS($1:5)),))</f>
        <v>3400000</v>
      </c>
      <c r="I15" s="610">
        <f ca="1">IF(ROWS($1:5)&gt;COUNT(Dong6),"",OFFSET(TH!K$1,SMALL(Dong6,ROWS($1:5)),))</f>
        <v>3400000</v>
      </c>
    </row>
    <row r="16" spans="1:14" s="696" customFormat="1" ht="21" customHeight="1">
      <c r="A16" s="704">
        <f ca="1">IF(ROWS($1:6)&gt;COUNT(Dong6),"",OFFSET(TH!C$1,SMALL(Dong6,ROWS($1:6)),))</f>
        <v>41142</v>
      </c>
      <c r="B16" s="705" t="str">
        <f ca="1">IF(ROWS($1:6)&gt;COUNT(Dong6),"",OFFSET(TH!D$1,SMALL(Dong6,ROWS($1:6)),))</f>
        <v>C03</v>
      </c>
      <c r="C16" s="704">
        <f ca="1">IF(ROWS($1:6)&gt;COUNT(Dong6),"",OFFSET(TH!E$1,SMALL(Dong6,ROWS($1:6)),))</f>
        <v>41142</v>
      </c>
      <c r="D16" s="706" t="str">
        <f ca="1">IF(ROWS($1:6)&gt;COUNT(Dong6),"",OFFSET(TH!F$1,SMALL(Dong6,ROWS($1:6)),))</f>
        <v>VAT Tiền đặt in hóa đơn</v>
      </c>
      <c r="E16" s="705">
        <f t="shared" ca="1" si="0"/>
        <v>6</v>
      </c>
      <c r="F16" s="707" t="str">
        <f ca="1">IF(ROWS($1:6)&gt;COUNT(Dong6),"",OFFSET(TH!L$1,SMALL(Dong6,ROWS($1:6)),))</f>
        <v>1331</v>
      </c>
      <c r="G16" s="707" t="str">
        <f ca="1">IF(ROWS($1:6)&gt;COUNT(Dong6),"",OFFSET(TH!M$1,SMALL(Dong6,ROWS($1:6)),))</f>
        <v>1111</v>
      </c>
      <c r="H16" s="610">
        <f ca="1">IF(ROWS($1:6)&gt;COUNT(Dong6),"",OFFSET(TH!K$1,SMALL(Dong6,ROWS($1:6)),))</f>
        <v>340000</v>
      </c>
      <c r="I16" s="610">
        <f ca="1">IF(ROWS($1:6)&gt;COUNT(Dong6),"",OFFSET(TH!K$1,SMALL(Dong6,ROWS($1:6)),))</f>
        <v>340000</v>
      </c>
    </row>
    <row r="17" spans="1:9" s="696" customFormat="1" ht="21" customHeight="1">
      <c r="A17" s="704">
        <f ca="1">IF(ROWS($1:7)&gt;COUNT(Dong6),"",OFFSET(TH!C$1,SMALL(Dong6,ROWS($1:7)),))</f>
        <v>41146</v>
      </c>
      <c r="B17" s="705" t="str">
        <f ca="1">IF(ROWS($1:7)&gt;COUNT(Dong6),"",OFFSET(TH!D$1,SMALL(Dong6,ROWS($1:7)),))</f>
        <v>GBN</v>
      </c>
      <c r="C17" s="704">
        <f ca="1">IF(ROWS($1:7)&gt;COUNT(Dong6),"",OFFSET(TH!E$1,SMALL(Dong6,ROWS($1:7)),))</f>
        <v>41146</v>
      </c>
      <c r="D17" s="706" t="str">
        <f ca="1">IF(ROWS($1:7)&gt;COUNT(Dong6),"",OFFSET(TH!F$1,SMALL(Dong6,ROWS($1:7)),))</f>
        <v>Thu phí quản lý tài khoản</v>
      </c>
      <c r="E17" s="705">
        <f t="shared" ca="1" si="0"/>
        <v>7</v>
      </c>
      <c r="F17" s="707" t="str">
        <f ca="1">IF(ROWS($1:7)&gt;COUNT(Dong6),"",OFFSET(TH!L$1,SMALL(Dong6,ROWS($1:7)),))</f>
        <v>642</v>
      </c>
      <c r="G17" s="707" t="str">
        <f ca="1">IF(ROWS($1:7)&gt;COUNT(Dong6),"",OFFSET(TH!M$1,SMALL(Dong6,ROWS($1:7)),))</f>
        <v>1121</v>
      </c>
      <c r="H17" s="610">
        <f ca="1">IF(ROWS($1:7)&gt;COUNT(Dong6),"",OFFSET(TH!K$1,SMALL(Dong6,ROWS($1:7)),))</f>
        <v>11000</v>
      </c>
      <c r="I17" s="610">
        <f ca="1">IF(ROWS($1:7)&gt;COUNT(Dong6),"",OFFSET(TH!K$1,SMALL(Dong6,ROWS($1:7)),))</f>
        <v>11000</v>
      </c>
    </row>
    <row r="18" spans="1:9" s="696" customFormat="1" ht="21" customHeight="1">
      <c r="A18" s="704">
        <f ca="1">IF(ROWS($1:8)&gt;COUNT(Dong6),"",OFFSET(TH!C$1,SMALL(Dong6,ROWS($1:8)),))</f>
        <v>41153</v>
      </c>
      <c r="B18" s="705" t="str">
        <f ca="1">IF(ROWS($1:8)&gt;COUNT(Dong6),"",OFFSET(TH!D$1,SMALL(Dong6,ROWS($1:8)),))</f>
        <v>N01</v>
      </c>
      <c r="C18" s="704">
        <f ca="1">IF(ROWS($1:8)&gt;COUNT(Dong6),"",OFFSET(TH!E$1,SMALL(Dong6,ROWS($1:8)),))</f>
        <v>41153</v>
      </c>
      <c r="D18" s="706" t="str">
        <f ca="1">IF(ROWS($1:8)&gt;COUNT(Dong6),"",OFFSET(TH!F$1,SMALL(Dong6,ROWS($1:8)),))</f>
        <v>Giấy tấm 1N +2X (110x162)</v>
      </c>
      <c r="E18" s="705">
        <f t="shared" ca="1" si="0"/>
        <v>8</v>
      </c>
      <c r="F18" s="707" t="str">
        <f ca="1">IF(ROWS($1:8)&gt;COUNT(Dong6),"",OFFSET(TH!L$1,SMALL(Dong6,ROWS($1:8)),))</f>
        <v>156</v>
      </c>
      <c r="G18" s="707" t="str">
        <f ca="1">IF(ROWS($1:8)&gt;COUNT(Dong6),"",OFFSET(TH!M$1,SMALL(Dong6,ROWS($1:8)),))</f>
        <v>331</v>
      </c>
      <c r="H18" s="610">
        <f ca="1">IF(ROWS($1:8)&gt;COUNT(Dong6),"",OFFSET(TH!K$1,SMALL(Dong6,ROWS($1:8)),))</f>
        <v>6628800</v>
      </c>
      <c r="I18" s="610">
        <f ca="1">IF(ROWS($1:8)&gt;COUNT(Dong6),"",OFFSET(TH!K$1,SMALL(Dong6,ROWS($1:8)),))</f>
        <v>6628800</v>
      </c>
    </row>
    <row r="19" spans="1:9" s="696" customFormat="1" ht="21" customHeight="1">
      <c r="A19" s="704">
        <f ca="1">IF(ROWS($1:9)&gt;COUNT(Dong6),"",OFFSET(TH!C$1,SMALL(Dong6,ROWS($1:9)),))</f>
        <v>41153</v>
      </c>
      <c r="B19" s="705" t="str">
        <f ca="1">IF(ROWS($1:9)&gt;COUNT(Dong6),"",OFFSET(TH!D$1,SMALL(Dong6,ROWS($1:9)),))</f>
        <v>N01</v>
      </c>
      <c r="C19" s="704">
        <f ca="1">IF(ROWS($1:9)&gt;COUNT(Dong6),"",OFFSET(TH!E$1,SMALL(Dong6,ROWS($1:9)),))</f>
        <v>41153</v>
      </c>
      <c r="D19" s="706" t="str">
        <f ca="1">IF(ROWS($1:9)&gt;COUNT(Dong6),"",OFFSET(TH!F$1,SMALL(Dong6,ROWS($1:9)),))</f>
        <v>Giấy tấm 1N +2X (110x159)</v>
      </c>
      <c r="E19" s="705">
        <f t="shared" ca="1" si="0"/>
        <v>9</v>
      </c>
      <c r="F19" s="707" t="str">
        <f ca="1">IF(ROWS($1:9)&gt;COUNT(Dong6),"",OFFSET(TH!L$1,SMALL(Dong6,ROWS($1:9)),))</f>
        <v>156</v>
      </c>
      <c r="G19" s="707" t="str">
        <f ca="1">IF(ROWS($1:9)&gt;COUNT(Dong6),"",OFFSET(TH!M$1,SMALL(Dong6,ROWS($1:9)),))</f>
        <v>331</v>
      </c>
      <c r="H19" s="610">
        <f ca="1">IF(ROWS($1:9)&gt;COUNT(Dong6),"",OFFSET(TH!K$1,SMALL(Dong6,ROWS($1:9)),))</f>
        <v>6506400</v>
      </c>
      <c r="I19" s="610">
        <f ca="1">IF(ROWS($1:9)&gt;COUNT(Dong6),"",OFFSET(TH!K$1,SMALL(Dong6,ROWS($1:9)),))</f>
        <v>6506400</v>
      </c>
    </row>
    <row r="20" spans="1:9" s="696" customFormat="1" ht="21" customHeight="1">
      <c r="A20" s="704">
        <f ca="1">IF(ROWS($1:10)&gt;COUNT(Dong6),"",OFFSET(TH!C$1,SMALL(Dong6,ROWS($1:10)),))</f>
        <v>41153</v>
      </c>
      <c r="B20" s="705" t="str">
        <f ca="1">IF(ROWS($1:10)&gt;COUNT(Dong6),"",OFFSET(TH!D$1,SMALL(Dong6,ROWS($1:10)),))</f>
        <v>N01</v>
      </c>
      <c r="C20" s="704">
        <f ca="1">IF(ROWS($1:10)&gt;COUNT(Dong6),"",OFFSET(TH!E$1,SMALL(Dong6,ROWS($1:10)),))</f>
        <v>41153</v>
      </c>
      <c r="D20" s="706" t="str">
        <f ca="1">IF(ROWS($1:10)&gt;COUNT(Dong6),"",OFFSET(TH!F$1,SMALL(Dong6,ROWS($1:10)),))</f>
        <v xml:space="preserve">VAT Giấy tấm </v>
      </c>
      <c r="E20" s="705">
        <f t="shared" ca="1" si="0"/>
        <v>10</v>
      </c>
      <c r="F20" s="707" t="str">
        <f ca="1">IF(ROWS($1:10)&gt;COUNT(Dong6),"",OFFSET(TH!L$1,SMALL(Dong6,ROWS($1:10)),))</f>
        <v>1331</v>
      </c>
      <c r="G20" s="707" t="str">
        <f ca="1">IF(ROWS($1:10)&gt;COUNT(Dong6),"",OFFSET(TH!M$1,SMALL(Dong6,ROWS($1:10)),))</f>
        <v>331</v>
      </c>
      <c r="H20" s="610">
        <f ca="1">IF(ROWS($1:10)&gt;COUNT(Dong6),"",OFFSET(TH!K$1,SMALL(Dong6,ROWS($1:10)),))</f>
        <v>1313520</v>
      </c>
      <c r="I20" s="610">
        <f ca="1">IF(ROWS($1:10)&gt;COUNT(Dong6),"",OFFSET(TH!K$1,SMALL(Dong6,ROWS($1:10)),))</f>
        <v>1313520</v>
      </c>
    </row>
    <row r="21" spans="1:9" s="696" customFormat="1" ht="21" customHeight="1">
      <c r="A21" s="704">
        <f ca="1">IF(ROWS($1:11)&gt;COUNT(Dong6),"",OFFSET(TH!C$1,SMALL(Dong6,ROWS($1:11)),))</f>
        <v>41153</v>
      </c>
      <c r="B21" s="705" t="str">
        <f ca="1">IF(ROWS($1:11)&gt;COUNT(Dong6),"",OFFSET(TH!D$1,SMALL(Dong6,ROWS($1:11)),))</f>
        <v>C04</v>
      </c>
      <c r="C21" s="704">
        <f ca="1">IF(ROWS($1:11)&gt;COUNT(Dong6),"",OFFSET(TH!E$1,SMALL(Dong6,ROWS($1:11)),))</f>
        <v>41153</v>
      </c>
      <c r="D21" s="706" t="str">
        <f ca="1">IF(ROWS($1:11)&gt;COUNT(Dong6),"",OFFSET(TH!F$1,SMALL(Dong6,ROWS($1:11)),))</f>
        <v>Thanh toán tiền hàng</v>
      </c>
      <c r="E21" s="705">
        <f t="shared" ca="1" si="0"/>
        <v>11</v>
      </c>
      <c r="F21" s="707" t="str">
        <f ca="1">IF(ROWS($1:11)&gt;COUNT(Dong6),"",OFFSET(TH!L$1,SMALL(Dong6,ROWS($1:11)),))</f>
        <v>331</v>
      </c>
      <c r="G21" s="707" t="str">
        <f ca="1">IF(ROWS($1:11)&gt;COUNT(Dong6),"",OFFSET(TH!M$1,SMALL(Dong6,ROWS($1:11)),))</f>
        <v>1111</v>
      </c>
      <c r="H21" s="610">
        <f ca="1">IF(ROWS($1:11)&gt;COUNT(Dong6),"",OFFSET(TH!K$1,SMALL(Dong6,ROWS($1:11)),))</f>
        <v>14448720</v>
      </c>
      <c r="I21" s="610">
        <f ca="1">IF(ROWS($1:11)&gt;COUNT(Dong6),"",OFFSET(TH!K$1,SMALL(Dong6,ROWS($1:11)),))</f>
        <v>14448720</v>
      </c>
    </row>
    <row r="22" spans="1:9" s="696" customFormat="1" ht="21" customHeight="1">
      <c r="A22" s="704">
        <f ca="1">IF(ROWS($1:12)&gt;COUNT(Dong6),"",OFFSET(TH!C$1,SMALL(Dong6,ROWS($1:12)),))</f>
        <v>41155</v>
      </c>
      <c r="B22" s="705" t="str">
        <f ca="1">IF(ROWS($1:12)&gt;COUNT(Dong6),"",OFFSET(TH!D$1,SMALL(Dong6,ROWS($1:12)),))</f>
        <v>N02</v>
      </c>
      <c r="C22" s="704">
        <f ca="1">IF(ROWS($1:12)&gt;COUNT(Dong6),"",OFFSET(TH!E$1,SMALL(Dong6,ROWS($1:12)),))</f>
        <v>41155</v>
      </c>
      <c r="D22" s="706" t="str">
        <f ca="1">IF(ROWS($1:12)&gt;COUNT(Dong6),"",OFFSET(TH!F$1,SMALL(Dong6,ROWS($1:12)),))</f>
        <v>Giấy tấm 1N +2X (105x159)</v>
      </c>
      <c r="E22" s="705">
        <f t="shared" ca="1" si="0"/>
        <v>12</v>
      </c>
      <c r="F22" s="707" t="str">
        <f ca="1">IF(ROWS($1:12)&gt;COUNT(Dong6),"",OFFSET(TH!L$1,SMALL(Dong6,ROWS($1:12)),))</f>
        <v>156</v>
      </c>
      <c r="G22" s="707" t="str">
        <f ca="1">IF(ROWS($1:12)&gt;COUNT(Dong6),"",OFFSET(TH!M$1,SMALL(Dong6,ROWS($1:12)),))</f>
        <v>331</v>
      </c>
      <c r="H22" s="610">
        <f ca="1">IF(ROWS($1:12)&gt;COUNT(Dong6),"",OFFSET(TH!K$1,SMALL(Dong6,ROWS($1:12)),))</f>
        <v>5143000</v>
      </c>
      <c r="I22" s="610">
        <f ca="1">IF(ROWS($1:12)&gt;COUNT(Dong6),"",OFFSET(TH!K$1,SMALL(Dong6,ROWS($1:12)),))</f>
        <v>5143000</v>
      </c>
    </row>
    <row r="23" spans="1:9" s="696" customFormat="1" ht="21" customHeight="1">
      <c r="A23" s="704">
        <f ca="1">IF(ROWS($1:13)&gt;COUNT(Dong6),"",OFFSET(TH!C$1,SMALL(Dong6,ROWS($1:13)),))</f>
        <v>41155</v>
      </c>
      <c r="B23" s="705" t="str">
        <f ca="1">IF(ROWS($1:13)&gt;COUNT(Dong6),"",OFFSET(TH!D$1,SMALL(Dong6,ROWS($1:13)),))</f>
        <v>N02</v>
      </c>
      <c r="C23" s="704">
        <f ca="1">IF(ROWS($1:13)&gt;COUNT(Dong6),"",OFFSET(TH!E$1,SMALL(Dong6,ROWS($1:13)),))</f>
        <v>41155</v>
      </c>
      <c r="D23" s="706" t="str">
        <f ca="1">IF(ROWS($1:13)&gt;COUNT(Dong6),"",OFFSET(TH!F$1,SMALL(Dong6,ROWS($1:13)),))</f>
        <v>Giấy tấm 1N +2X (115x163)</v>
      </c>
      <c r="E23" s="705">
        <f t="shared" ca="1" si="0"/>
        <v>13</v>
      </c>
      <c r="F23" s="707" t="str">
        <f ca="1">IF(ROWS($1:13)&gt;COUNT(Dong6),"",OFFSET(TH!L$1,SMALL(Dong6,ROWS($1:13)),))</f>
        <v>156</v>
      </c>
      <c r="G23" s="707" t="str">
        <f ca="1">IF(ROWS($1:13)&gt;COUNT(Dong6),"",OFFSET(TH!M$1,SMALL(Dong6,ROWS($1:13)),))</f>
        <v>331</v>
      </c>
      <c r="H23" s="610">
        <f ca="1">IF(ROWS($1:13)&gt;COUNT(Dong6),"",OFFSET(TH!K$1,SMALL(Dong6,ROWS($1:13)),))</f>
        <v>5811000</v>
      </c>
      <c r="I23" s="610">
        <f ca="1">IF(ROWS($1:13)&gt;COUNT(Dong6),"",OFFSET(TH!K$1,SMALL(Dong6,ROWS($1:13)),))</f>
        <v>5811000</v>
      </c>
    </row>
    <row r="24" spans="1:9" s="696" customFormat="1" ht="21" customHeight="1">
      <c r="A24" s="704">
        <f ca="1">IF(ROWS($1:14)&gt;COUNT(Dong6),"",OFFSET(TH!C$1,SMALL(Dong6,ROWS($1:14)),))</f>
        <v>41155</v>
      </c>
      <c r="B24" s="705" t="str">
        <f ca="1">IF(ROWS($1:14)&gt;COUNT(Dong6),"",OFFSET(TH!D$1,SMALL(Dong6,ROWS($1:14)),))</f>
        <v>N02</v>
      </c>
      <c r="C24" s="704">
        <f ca="1">IF(ROWS($1:14)&gt;COUNT(Dong6),"",OFFSET(TH!E$1,SMALL(Dong6,ROWS($1:14)),))</f>
        <v>41155</v>
      </c>
      <c r="D24" s="706" t="str">
        <f ca="1">IF(ROWS($1:14)&gt;COUNT(Dong6),"",OFFSET(TH!F$1,SMALL(Dong6,ROWS($1:14)),))</f>
        <v xml:space="preserve">VAT Giấy tấm </v>
      </c>
      <c r="E24" s="705">
        <f t="shared" ca="1" si="0"/>
        <v>14</v>
      </c>
      <c r="F24" s="707" t="str">
        <f ca="1">IF(ROWS($1:14)&gt;COUNT(Dong6),"",OFFSET(TH!L$1,SMALL(Dong6,ROWS($1:14)),))</f>
        <v>1331</v>
      </c>
      <c r="G24" s="707" t="str">
        <f ca="1">IF(ROWS($1:14)&gt;COUNT(Dong6),"",OFFSET(TH!M$1,SMALL(Dong6,ROWS($1:14)),))</f>
        <v>331</v>
      </c>
      <c r="H24" s="610">
        <f ca="1">IF(ROWS($1:14)&gt;COUNT(Dong6),"",OFFSET(TH!K$1,SMALL(Dong6,ROWS($1:14)),))</f>
        <v>1095400</v>
      </c>
      <c r="I24" s="610">
        <f ca="1">IF(ROWS($1:14)&gt;COUNT(Dong6),"",OFFSET(TH!K$1,SMALL(Dong6,ROWS($1:14)),))</f>
        <v>1095400</v>
      </c>
    </row>
    <row r="25" spans="1:9" s="696" customFormat="1" ht="21" customHeight="1">
      <c r="A25" s="704">
        <f ca="1">IF(ROWS($1:15)&gt;COUNT(Dong6),"",OFFSET(TH!C$1,SMALL(Dong6,ROWS($1:15)),))</f>
        <v>41155</v>
      </c>
      <c r="B25" s="705" t="str">
        <f ca="1">IF(ROWS($1:15)&gt;COUNT(Dong6),"",OFFSET(TH!D$1,SMALL(Dong6,ROWS($1:15)),))</f>
        <v>C05</v>
      </c>
      <c r="C25" s="704">
        <f ca="1">IF(ROWS($1:15)&gt;COUNT(Dong6),"",OFFSET(TH!E$1,SMALL(Dong6,ROWS($1:15)),))</f>
        <v>41155</v>
      </c>
      <c r="D25" s="706" t="str">
        <f ca="1">IF(ROWS($1:15)&gt;COUNT(Dong6),"",OFFSET(TH!F$1,SMALL(Dong6,ROWS($1:15)),))</f>
        <v>Thanh toán tiền hàng</v>
      </c>
      <c r="E25" s="705">
        <f t="shared" ca="1" si="0"/>
        <v>15</v>
      </c>
      <c r="F25" s="707" t="str">
        <f ca="1">IF(ROWS($1:15)&gt;COUNT(Dong6),"",OFFSET(TH!L$1,SMALL(Dong6,ROWS($1:15)),))</f>
        <v>331</v>
      </c>
      <c r="G25" s="707" t="str">
        <f ca="1">IF(ROWS($1:15)&gt;COUNT(Dong6),"",OFFSET(TH!M$1,SMALL(Dong6,ROWS($1:15)),))</f>
        <v>1111</v>
      </c>
      <c r="H25" s="610">
        <f ca="1">IF(ROWS($1:15)&gt;COUNT(Dong6),"",OFFSET(TH!K$1,SMALL(Dong6,ROWS($1:15)),))</f>
        <v>12049400</v>
      </c>
      <c r="I25" s="610">
        <f ca="1">IF(ROWS($1:15)&gt;COUNT(Dong6),"",OFFSET(TH!K$1,SMALL(Dong6,ROWS($1:15)),))</f>
        <v>12049400</v>
      </c>
    </row>
    <row r="26" spans="1:9" s="696" customFormat="1" ht="21" customHeight="1">
      <c r="A26" s="704">
        <f ca="1">IF(ROWS($1:16)&gt;COUNT(Dong6),"",OFFSET(TH!C$1,SMALL(Dong6,ROWS($1:16)),))</f>
        <v>41156</v>
      </c>
      <c r="B26" s="705" t="str">
        <f ca="1">IF(ROWS($1:16)&gt;COUNT(Dong6),"",OFFSET(TH!D$1,SMALL(Dong6,ROWS($1:16)),))</f>
        <v>N03</v>
      </c>
      <c r="C26" s="704">
        <f ca="1">IF(ROWS($1:16)&gt;COUNT(Dong6),"",OFFSET(TH!E$1,SMALL(Dong6,ROWS($1:16)),))</f>
        <v>41156</v>
      </c>
      <c r="D26" s="706" t="str">
        <f ca="1">IF(ROWS($1:16)&gt;COUNT(Dong6),"",OFFSET(TH!F$1,SMALL(Dong6,ROWS($1:16)),))</f>
        <v>Giấy tấm 1N +2X (110x151)</v>
      </c>
      <c r="E26" s="705">
        <f t="shared" ca="1" si="0"/>
        <v>16</v>
      </c>
      <c r="F26" s="707" t="str">
        <f ca="1">IF(ROWS($1:16)&gt;COUNT(Dong6),"",OFFSET(TH!L$1,SMALL(Dong6,ROWS($1:16)),))</f>
        <v>156</v>
      </c>
      <c r="G26" s="707" t="str">
        <f ca="1">IF(ROWS($1:16)&gt;COUNT(Dong6),"",OFFSET(TH!M$1,SMALL(Dong6,ROWS($1:16)),))</f>
        <v>331</v>
      </c>
      <c r="H26" s="610">
        <f ca="1">IF(ROWS($1:16)&gt;COUNT(Dong6),"",OFFSET(TH!K$1,SMALL(Dong6,ROWS($1:16)),))</f>
        <v>5663900</v>
      </c>
      <c r="I26" s="610">
        <f ca="1">IF(ROWS($1:16)&gt;COUNT(Dong6),"",OFFSET(TH!K$1,SMALL(Dong6,ROWS($1:16)),))</f>
        <v>5663900</v>
      </c>
    </row>
    <row r="27" spans="1:9" s="696" customFormat="1" ht="21" customHeight="1">
      <c r="A27" s="704">
        <f ca="1">IF(ROWS($1:17)&gt;COUNT(Dong6),"",OFFSET(TH!C$1,SMALL(Dong6,ROWS($1:17)),))</f>
        <v>41156</v>
      </c>
      <c r="B27" s="705" t="str">
        <f ca="1">IF(ROWS($1:17)&gt;COUNT(Dong6),"",OFFSET(TH!D$1,SMALL(Dong6,ROWS($1:17)),))</f>
        <v>N03</v>
      </c>
      <c r="C27" s="704">
        <f ca="1">IF(ROWS($1:17)&gt;COUNT(Dong6),"",OFFSET(TH!E$1,SMALL(Dong6,ROWS($1:17)),))</f>
        <v>41156</v>
      </c>
      <c r="D27" s="706" t="str">
        <f ca="1">IF(ROWS($1:17)&gt;COUNT(Dong6),"",OFFSET(TH!F$1,SMALL(Dong6,ROWS($1:17)),))</f>
        <v>Giấy tấm 1N +2X (145x144)</v>
      </c>
      <c r="E27" s="705">
        <f t="shared" ca="1" si="0"/>
        <v>17</v>
      </c>
      <c r="F27" s="707" t="str">
        <f ca="1">IF(ROWS($1:17)&gt;COUNT(Dong6),"",OFFSET(TH!L$1,SMALL(Dong6,ROWS($1:17)),))</f>
        <v>156</v>
      </c>
      <c r="G27" s="707" t="str">
        <f ca="1">IF(ROWS($1:17)&gt;COUNT(Dong6),"",OFFSET(TH!M$1,SMALL(Dong6,ROWS($1:17)),))</f>
        <v>331</v>
      </c>
      <c r="H27" s="610">
        <f ca="1">IF(ROWS($1:17)&gt;COUNT(Dong6),"",OFFSET(TH!K$1,SMALL(Dong6,ROWS($1:17)),))</f>
        <v>8544360</v>
      </c>
      <c r="I27" s="610">
        <f ca="1">IF(ROWS($1:17)&gt;COUNT(Dong6),"",OFFSET(TH!K$1,SMALL(Dong6,ROWS($1:17)),))</f>
        <v>8544360</v>
      </c>
    </row>
    <row r="28" spans="1:9" s="696" customFormat="1" ht="21" customHeight="1">
      <c r="A28" s="704">
        <f ca="1">IF(ROWS($1:18)&gt;COUNT(Dong6),"",OFFSET(TH!C$1,SMALL(Dong6,ROWS($1:18)),))</f>
        <v>41156</v>
      </c>
      <c r="B28" s="705" t="str">
        <f ca="1">IF(ROWS($1:18)&gt;COUNT(Dong6),"",OFFSET(TH!D$1,SMALL(Dong6,ROWS($1:18)),))</f>
        <v>N03</v>
      </c>
      <c r="C28" s="704">
        <f ca="1">IF(ROWS($1:18)&gt;COUNT(Dong6),"",OFFSET(TH!E$1,SMALL(Dong6,ROWS($1:18)),))</f>
        <v>41156</v>
      </c>
      <c r="D28" s="706" t="str">
        <f ca="1">IF(ROWS($1:18)&gt;COUNT(Dong6),"",OFFSET(TH!F$1,SMALL(Dong6,ROWS($1:18)),))</f>
        <v xml:space="preserve">VAT Giấy tấm </v>
      </c>
      <c r="E28" s="705">
        <f t="shared" ca="1" si="0"/>
        <v>18</v>
      </c>
      <c r="F28" s="707" t="str">
        <f ca="1">IF(ROWS($1:18)&gt;COUNT(Dong6),"",OFFSET(TH!L$1,SMALL(Dong6,ROWS($1:18)),))</f>
        <v>1331</v>
      </c>
      <c r="G28" s="707" t="str">
        <f ca="1">IF(ROWS($1:18)&gt;COUNT(Dong6),"",OFFSET(TH!M$1,SMALL(Dong6,ROWS($1:18)),))</f>
        <v>331</v>
      </c>
      <c r="H28" s="610">
        <f ca="1">IF(ROWS($1:18)&gt;COUNT(Dong6),"",OFFSET(TH!K$1,SMALL(Dong6,ROWS($1:18)),))</f>
        <v>1420826</v>
      </c>
      <c r="I28" s="610">
        <f ca="1">IF(ROWS($1:18)&gt;COUNT(Dong6),"",OFFSET(TH!K$1,SMALL(Dong6,ROWS($1:18)),))</f>
        <v>1420826</v>
      </c>
    </row>
    <row r="29" spans="1:9" s="696" customFormat="1" ht="21" customHeight="1">
      <c r="A29" s="704">
        <f ca="1">IF(ROWS($1:19)&gt;COUNT(Dong6),"",OFFSET(TH!C$1,SMALL(Dong6,ROWS($1:19)),))</f>
        <v>41156</v>
      </c>
      <c r="B29" s="705" t="str">
        <f ca="1">IF(ROWS($1:19)&gt;COUNT(Dong6),"",OFFSET(TH!D$1,SMALL(Dong6,ROWS($1:19)),))</f>
        <v>C06</v>
      </c>
      <c r="C29" s="704">
        <f ca="1">IF(ROWS($1:19)&gt;COUNT(Dong6),"",OFFSET(TH!E$1,SMALL(Dong6,ROWS($1:19)),))</f>
        <v>41156</v>
      </c>
      <c r="D29" s="706" t="str">
        <f ca="1">IF(ROWS($1:19)&gt;COUNT(Dong6),"",OFFSET(TH!F$1,SMALL(Dong6,ROWS($1:19)),))</f>
        <v>Thanh toán tiền hàng</v>
      </c>
      <c r="E29" s="705">
        <f t="shared" ca="1" si="0"/>
        <v>19</v>
      </c>
      <c r="F29" s="707" t="str">
        <f ca="1">IF(ROWS($1:19)&gt;COUNT(Dong6),"",OFFSET(TH!L$1,SMALL(Dong6,ROWS($1:19)),))</f>
        <v>331</v>
      </c>
      <c r="G29" s="707" t="str">
        <f ca="1">IF(ROWS($1:19)&gt;COUNT(Dong6),"",OFFSET(TH!M$1,SMALL(Dong6,ROWS($1:19)),))</f>
        <v>1111</v>
      </c>
      <c r="H29" s="610">
        <f ca="1">IF(ROWS($1:19)&gt;COUNT(Dong6),"",OFFSET(TH!K$1,SMALL(Dong6,ROWS($1:19)),))</f>
        <v>15629086</v>
      </c>
      <c r="I29" s="610">
        <f ca="1">IF(ROWS($1:19)&gt;COUNT(Dong6),"",OFFSET(TH!K$1,SMALL(Dong6,ROWS($1:19)),))</f>
        <v>15629086</v>
      </c>
    </row>
    <row r="30" spans="1:9" s="696" customFormat="1" ht="21" customHeight="1">
      <c r="A30" s="704">
        <f ca="1">IF(ROWS($1:20)&gt;COUNT(Dong6),"",OFFSET(TH!C$1,SMALL(Dong6,ROWS($1:20)),))</f>
        <v>41160</v>
      </c>
      <c r="B30" s="705" t="str">
        <f ca="1">IF(ROWS($1:20)&gt;COUNT(Dong6),"",OFFSET(TH!D$1,SMALL(Dong6,ROWS($1:20)),))</f>
        <v>N04</v>
      </c>
      <c r="C30" s="704">
        <f ca="1">IF(ROWS($1:20)&gt;COUNT(Dong6),"",OFFSET(TH!E$1,SMALL(Dong6,ROWS($1:20)),))</f>
        <v>41160</v>
      </c>
      <c r="D30" s="706" t="str">
        <f ca="1">IF(ROWS($1:20)&gt;COUNT(Dong6),"",OFFSET(TH!F$1,SMALL(Dong6,ROWS($1:20)),))</f>
        <v>Giấy tấm 1N +2X (145x144)</v>
      </c>
      <c r="E30" s="705">
        <f t="shared" ca="1" si="0"/>
        <v>20</v>
      </c>
      <c r="F30" s="707" t="str">
        <f ca="1">IF(ROWS($1:20)&gt;COUNT(Dong6),"",OFFSET(TH!L$1,SMALL(Dong6,ROWS($1:20)),))</f>
        <v>156</v>
      </c>
      <c r="G30" s="707" t="str">
        <f ca="1">IF(ROWS($1:20)&gt;COUNT(Dong6),"",OFFSET(TH!M$1,SMALL(Dong6,ROWS($1:20)),))</f>
        <v>331</v>
      </c>
      <c r="H30" s="610">
        <f ca="1">IF(ROWS($1:20)&gt;COUNT(Dong6),"",OFFSET(TH!K$1,SMALL(Dong6,ROWS($1:20)),))</f>
        <v>5133600</v>
      </c>
      <c r="I30" s="610">
        <f ca="1">IF(ROWS($1:20)&gt;COUNT(Dong6),"",OFFSET(TH!K$1,SMALL(Dong6,ROWS($1:20)),))</f>
        <v>5133600</v>
      </c>
    </row>
    <row r="31" spans="1:9" s="696" customFormat="1" ht="21" customHeight="1">
      <c r="A31" s="704">
        <f ca="1">IF(ROWS($1:21)&gt;COUNT(Dong6),"",OFFSET(TH!C$1,SMALL(Dong6,ROWS($1:21)),))</f>
        <v>41160</v>
      </c>
      <c r="B31" s="705" t="str">
        <f ca="1">IF(ROWS($1:21)&gt;COUNT(Dong6),"",OFFSET(TH!D$1,SMALL(Dong6,ROWS($1:21)),))</f>
        <v>N04</v>
      </c>
      <c r="C31" s="704">
        <f ca="1">IF(ROWS($1:21)&gt;COUNT(Dong6),"",OFFSET(TH!E$1,SMALL(Dong6,ROWS($1:21)),))</f>
        <v>41160</v>
      </c>
      <c r="D31" s="706" t="str">
        <f ca="1">IF(ROWS($1:21)&gt;COUNT(Dong6),"",OFFSET(TH!F$1,SMALL(Dong6,ROWS($1:21)),))</f>
        <v xml:space="preserve">VAT Giấy tấm </v>
      </c>
      <c r="E31" s="705">
        <f t="shared" ca="1" si="0"/>
        <v>21</v>
      </c>
      <c r="F31" s="707" t="str">
        <f ca="1">IF(ROWS($1:21)&gt;COUNT(Dong6),"",OFFSET(TH!L$1,SMALL(Dong6,ROWS($1:21)),))</f>
        <v>1331</v>
      </c>
      <c r="G31" s="707" t="str">
        <f ca="1">IF(ROWS($1:21)&gt;COUNT(Dong6),"",OFFSET(TH!M$1,SMALL(Dong6,ROWS($1:21)),))</f>
        <v>331</v>
      </c>
      <c r="H31" s="610">
        <f ca="1">IF(ROWS($1:21)&gt;COUNT(Dong6),"",OFFSET(TH!K$1,SMALL(Dong6,ROWS($1:21)),))</f>
        <v>513360</v>
      </c>
      <c r="I31" s="610">
        <f ca="1">IF(ROWS($1:21)&gt;COUNT(Dong6),"",OFFSET(TH!K$1,SMALL(Dong6,ROWS($1:21)),))</f>
        <v>513360</v>
      </c>
    </row>
    <row r="32" spans="1:9" s="696" customFormat="1" ht="21" customHeight="1">
      <c r="A32" s="704">
        <f ca="1">IF(ROWS($1:22)&gt;COUNT(Dong6),"",OFFSET(TH!C$1,SMALL(Dong6,ROWS($1:22)),))</f>
        <v>41160</v>
      </c>
      <c r="B32" s="705" t="str">
        <f ca="1">IF(ROWS($1:22)&gt;COUNT(Dong6),"",OFFSET(TH!D$1,SMALL(Dong6,ROWS($1:22)),))</f>
        <v>C07</v>
      </c>
      <c r="C32" s="704">
        <f ca="1">IF(ROWS($1:22)&gt;COUNT(Dong6),"",OFFSET(TH!E$1,SMALL(Dong6,ROWS($1:22)),))</f>
        <v>41160</v>
      </c>
      <c r="D32" s="706" t="str">
        <f ca="1">IF(ROWS($1:22)&gt;COUNT(Dong6),"",OFFSET(TH!F$1,SMALL(Dong6,ROWS($1:22)),))</f>
        <v>Thanh toán tiền hàng</v>
      </c>
      <c r="E32" s="705">
        <f t="shared" ca="1" si="0"/>
        <v>22</v>
      </c>
      <c r="F32" s="707" t="str">
        <f ca="1">IF(ROWS($1:22)&gt;COUNT(Dong6),"",OFFSET(TH!L$1,SMALL(Dong6,ROWS($1:22)),))</f>
        <v>331</v>
      </c>
      <c r="G32" s="707" t="str">
        <f ca="1">IF(ROWS($1:22)&gt;COUNT(Dong6),"",OFFSET(TH!M$1,SMALL(Dong6,ROWS($1:22)),))</f>
        <v>1111</v>
      </c>
      <c r="H32" s="610">
        <f ca="1">IF(ROWS($1:22)&gt;COUNT(Dong6),"",OFFSET(TH!K$1,SMALL(Dong6,ROWS($1:22)),))</f>
        <v>5646960</v>
      </c>
      <c r="I32" s="610">
        <f ca="1">IF(ROWS($1:22)&gt;COUNT(Dong6),"",OFFSET(TH!K$1,SMALL(Dong6,ROWS($1:22)),))</f>
        <v>5646960</v>
      </c>
    </row>
    <row r="33" spans="1:9" s="696" customFormat="1" ht="21" customHeight="1">
      <c r="A33" s="704">
        <f ca="1">IF(ROWS($1:23)&gt;COUNT(Dong6),"",OFFSET(TH!C$1,SMALL(Dong6,ROWS($1:23)),))</f>
        <v>41165</v>
      </c>
      <c r="B33" s="705" t="str">
        <f ca="1">IF(ROWS($1:23)&gt;COUNT(Dong6),"",OFFSET(TH!D$1,SMALL(Dong6,ROWS($1:23)),))</f>
        <v>C08</v>
      </c>
      <c r="C33" s="704">
        <f ca="1">IF(ROWS($1:23)&gt;COUNT(Dong6),"",OFFSET(TH!E$1,SMALL(Dong6,ROWS($1:23)),))</f>
        <v>41165</v>
      </c>
      <c r="D33" s="706" t="str">
        <f ca="1">IF(ROWS($1:23)&gt;COUNT(Dong6),"",OFFSET(TH!F$1,SMALL(Dong6,ROWS($1:23)),))</f>
        <v>Thanh toán tiền điện</v>
      </c>
      <c r="E33" s="705">
        <f t="shared" ca="1" si="0"/>
        <v>23</v>
      </c>
      <c r="F33" s="707" t="str">
        <f ca="1">IF(ROWS($1:23)&gt;COUNT(Dong6),"",OFFSET(TH!L$1,SMALL(Dong6,ROWS($1:23)),))</f>
        <v>642</v>
      </c>
      <c r="G33" s="707" t="str">
        <f ca="1">IF(ROWS($1:23)&gt;COUNT(Dong6),"",OFFSET(TH!M$1,SMALL(Dong6,ROWS($1:23)),))</f>
        <v>1111</v>
      </c>
      <c r="H33" s="610">
        <f ca="1">IF(ROWS($1:23)&gt;COUNT(Dong6),"",OFFSET(TH!K$1,SMALL(Dong6,ROWS($1:23)),))</f>
        <v>373172</v>
      </c>
      <c r="I33" s="610">
        <f ca="1">IF(ROWS($1:23)&gt;COUNT(Dong6),"",OFFSET(TH!K$1,SMALL(Dong6,ROWS($1:23)),))</f>
        <v>373172</v>
      </c>
    </row>
    <row r="34" spans="1:9" s="696" customFormat="1" ht="21" customHeight="1">
      <c r="A34" s="704">
        <f ca="1">IF(ROWS($1:24)&gt;COUNT(Dong6),"",OFFSET(TH!C$1,SMALL(Dong6,ROWS($1:24)),))</f>
        <v>41165</v>
      </c>
      <c r="B34" s="705" t="str">
        <f ca="1">IF(ROWS($1:24)&gt;COUNT(Dong6),"",OFFSET(TH!D$1,SMALL(Dong6,ROWS($1:24)),))</f>
        <v>C08</v>
      </c>
      <c r="C34" s="704">
        <f ca="1">IF(ROWS($1:24)&gt;COUNT(Dong6),"",OFFSET(TH!E$1,SMALL(Dong6,ROWS($1:24)),))</f>
        <v>41165</v>
      </c>
      <c r="D34" s="706" t="str">
        <f ca="1">IF(ROWS($1:24)&gt;COUNT(Dong6),"",OFFSET(TH!F$1,SMALL(Dong6,ROWS($1:24)),))</f>
        <v>VAT Thanh toán tiền điện</v>
      </c>
      <c r="E34" s="705">
        <f t="shared" ca="1" si="0"/>
        <v>24</v>
      </c>
      <c r="F34" s="707" t="str">
        <f ca="1">IF(ROWS($1:24)&gt;COUNT(Dong6),"",OFFSET(TH!L$1,SMALL(Dong6,ROWS($1:24)),))</f>
        <v>642</v>
      </c>
      <c r="G34" s="707" t="str">
        <f ca="1">IF(ROWS($1:24)&gt;COUNT(Dong6),"",OFFSET(TH!M$1,SMALL(Dong6,ROWS($1:24)),))</f>
        <v>1111</v>
      </c>
      <c r="H34" s="610">
        <f ca="1">IF(ROWS($1:24)&gt;COUNT(Dong6),"",OFFSET(TH!K$1,SMALL(Dong6,ROWS($1:24)),))</f>
        <v>37317</v>
      </c>
      <c r="I34" s="610">
        <f ca="1">IF(ROWS($1:24)&gt;COUNT(Dong6),"",OFFSET(TH!K$1,SMALL(Dong6,ROWS($1:24)),))</f>
        <v>37317</v>
      </c>
    </row>
    <row r="35" spans="1:9" s="696" customFormat="1" ht="21" customHeight="1">
      <c r="A35" s="704">
        <f ca="1">IF(ROWS($1:25)&gt;COUNT(Dong6),"",OFFSET(TH!C$1,SMALL(Dong6,ROWS($1:25)),))</f>
        <v>41167</v>
      </c>
      <c r="B35" s="705" t="str">
        <f ca="1">IF(ROWS($1:25)&gt;COUNT(Dong6),"",OFFSET(TH!D$1,SMALL(Dong6,ROWS($1:25)),))</f>
        <v>C09</v>
      </c>
      <c r="C35" s="704">
        <f ca="1">IF(ROWS($1:25)&gt;COUNT(Dong6),"",OFFSET(TH!E$1,SMALL(Dong6,ROWS($1:25)),))</f>
        <v>41167</v>
      </c>
      <c r="D35" s="706" t="str">
        <f ca="1">IF(ROWS($1:25)&gt;COUNT(Dong6),"",OFFSET(TH!F$1,SMALL(Dong6,ROWS($1:25)),))</f>
        <v>Thanh toán tiền điện</v>
      </c>
      <c r="E35" s="705">
        <f t="shared" ca="1" si="0"/>
        <v>25</v>
      </c>
      <c r="F35" s="707" t="str">
        <f ca="1">IF(ROWS($1:25)&gt;COUNT(Dong6),"",OFFSET(TH!L$1,SMALL(Dong6,ROWS($1:25)),))</f>
        <v>642</v>
      </c>
      <c r="G35" s="707" t="str">
        <f ca="1">IF(ROWS($1:25)&gt;COUNT(Dong6),"",OFFSET(TH!M$1,SMALL(Dong6,ROWS($1:25)),))</f>
        <v>1111</v>
      </c>
      <c r="H35" s="610">
        <f ca="1">IF(ROWS($1:25)&gt;COUNT(Dong6),"",OFFSET(TH!K$1,SMALL(Dong6,ROWS($1:25)),))</f>
        <v>96876</v>
      </c>
      <c r="I35" s="610">
        <f ca="1">IF(ROWS($1:25)&gt;COUNT(Dong6),"",OFFSET(TH!K$1,SMALL(Dong6,ROWS($1:25)),))</f>
        <v>96876</v>
      </c>
    </row>
    <row r="36" spans="1:9" s="696" customFormat="1" ht="21" customHeight="1">
      <c r="A36" s="704">
        <f ca="1">IF(ROWS($1:26)&gt;COUNT(Dong6),"",OFFSET(TH!C$1,SMALL(Dong6,ROWS($1:26)),))</f>
        <v>41167</v>
      </c>
      <c r="B36" s="705" t="str">
        <f ca="1">IF(ROWS($1:26)&gt;COUNT(Dong6),"",OFFSET(TH!D$1,SMALL(Dong6,ROWS($1:26)),))</f>
        <v>C09</v>
      </c>
      <c r="C36" s="704">
        <f ca="1">IF(ROWS($1:26)&gt;COUNT(Dong6),"",OFFSET(TH!E$1,SMALL(Dong6,ROWS($1:26)),))</f>
        <v>41167</v>
      </c>
      <c r="D36" s="706" t="str">
        <f ca="1">IF(ROWS($1:26)&gt;COUNT(Dong6),"",OFFSET(TH!F$1,SMALL(Dong6,ROWS($1:26)),))</f>
        <v>VAT Thanh toán tiền điện</v>
      </c>
      <c r="E36" s="705">
        <f t="shared" ca="1" si="0"/>
        <v>26</v>
      </c>
      <c r="F36" s="707" t="str">
        <f ca="1">IF(ROWS($1:26)&gt;COUNT(Dong6),"",OFFSET(TH!L$1,SMALL(Dong6,ROWS($1:26)),))</f>
        <v>642</v>
      </c>
      <c r="G36" s="707" t="str">
        <f ca="1">IF(ROWS($1:26)&gt;COUNT(Dong6),"",OFFSET(TH!M$1,SMALL(Dong6,ROWS($1:26)),))</f>
        <v>1111</v>
      </c>
      <c r="H36" s="610">
        <f ca="1">IF(ROWS($1:26)&gt;COUNT(Dong6),"",OFFSET(TH!K$1,SMALL(Dong6,ROWS($1:26)),))</f>
        <v>9688</v>
      </c>
      <c r="I36" s="610">
        <f ca="1">IF(ROWS($1:26)&gt;COUNT(Dong6),"",OFFSET(TH!K$1,SMALL(Dong6,ROWS($1:26)),))</f>
        <v>9688</v>
      </c>
    </row>
    <row r="37" spans="1:9" s="696" customFormat="1" ht="21" customHeight="1">
      <c r="A37" s="704">
        <f ca="1">IF(ROWS($1:27)&gt;COUNT(Dong6),"",OFFSET(TH!C$1,SMALL(Dong6,ROWS($1:27)),))</f>
        <v>41167</v>
      </c>
      <c r="B37" s="705" t="str">
        <f ca="1">IF(ROWS($1:27)&gt;COUNT(Dong6),"",OFFSET(TH!D$1,SMALL(Dong6,ROWS($1:27)),))</f>
        <v>X01</v>
      </c>
      <c r="C37" s="704">
        <f ca="1">IF(ROWS($1:27)&gt;COUNT(Dong6),"",OFFSET(TH!E$1,SMALL(Dong6,ROWS($1:27)),))</f>
        <v>41167</v>
      </c>
      <c r="D37" s="706" t="str">
        <f ca="1">IF(ROWS($1:27)&gt;COUNT(Dong6),"",OFFSET(TH!F$1,SMALL(Dong6,ROWS($1:27)),))</f>
        <v>Thùng carton (52x27x27)</v>
      </c>
      <c r="E37" s="705">
        <f t="shared" ca="1" si="0"/>
        <v>27</v>
      </c>
      <c r="F37" s="707" t="str">
        <f ca="1">IF(ROWS($1:27)&gt;COUNT(Dong6),"",OFFSET(TH!L$1,SMALL(Dong6,ROWS($1:27)),))</f>
        <v>131</v>
      </c>
      <c r="G37" s="707" t="str">
        <f ca="1">IF(ROWS($1:27)&gt;COUNT(Dong6),"",OFFSET(TH!M$1,SMALL(Dong6,ROWS($1:27)),))</f>
        <v>5112</v>
      </c>
      <c r="H37" s="610">
        <f ca="1">IF(ROWS($1:27)&gt;COUNT(Dong6),"",OFFSET(TH!K$1,SMALL(Dong6,ROWS($1:27)),))</f>
        <v>8136000</v>
      </c>
      <c r="I37" s="610">
        <f ca="1">IF(ROWS($1:27)&gt;COUNT(Dong6),"",OFFSET(TH!K$1,SMALL(Dong6,ROWS($1:27)),))</f>
        <v>8136000</v>
      </c>
    </row>
    <row r="38" spans="1:9" s="696" customFormat="1" ht="21" customHeight="1">
      <c r="A38" s="704">
        <f ca="1">IF(ROWS($1:28)&gt;COUNT(Dong6),"",OFFSET(TH!C$1,SMALL(Dong6,ROWS($1:28)),))</f>
        <v>41167</v>
      </c>
      <c r="B38" s="705" t="str">
        <f ca="1">IF(ROWS($1:28)&gt;COUNT(Dong6),"",OFFSET(TH!D$1,SMALL(Dong6,ROWS($1:28)),))</f>
        <v>X01</v>
      </c>
      <c r="C38" s="704">
        <f ca="1">IF(ROWS($1:28)&gt;COUNT(Dong6),"",OFFSET(TH!E$1,SMALL(Dong6,ROWS($1:28)),))</f>
        <v>41167</v>
      </c>
      <c r="D38" s="706" t="str">
        <f ca="1">IF(ROWS($1:28)&gt;COUNT(Dong6),"",OFFSET(TH!F$1,SMALL(Dong6,ROWS($1:28)),))</f>
        <v>Tấm lót</v>
      </c>
      <c r="E38" s="705">
        <f t="shared" ca="1" si="0"/>
        <v>28</v>
      </c>
      <c r="F38" s="707" t="str">
        <f ca="1">IF(ROWS($1:28)&gt;COUNT(Dong6),"",OFFSET(TH!L$1,SMALL(Dong6,ROWS($1:28)),))</f>
        <v>131</v>
      </c>
      <c r="G38" s="707" t="str">
        <f ca="1">IF(ROWS($1:28)&gt;COUNT(Dong6),"",OFFSET(TH!M$1,SMALL(Dong6,ROWS($1:28)),))</f>
        <v>5112</v>
      </c>
      <c r="H38" s="610">
        <f ca="1">IF(ROWS($1:28)&gt;COUNT(Dong6),"",OFFSET(TH!K$1,SMALL(Dong6,ROWS($1:28)),))</f>
        <v>10530000</v>
      </c>
      <c r="I38" s="610">
        <f ca="1">IF(ROWS($1:28)&gt;COUNT(Dong6),"",OFFSET(TH!K$1,SMALL(Dong6,ROWS($1:28)),))</f>
        <v>10530000</v>
      </c>
    </row>
    <row r="39" spans="1:9" s="696" customFormat="1" ht="21" customHeight="1">
      <c r="A39" s="704">
        <f ca="1">IF(ROWS($1:29)&gt;COUNT(Dong6),"",OFFSET(TH!C$1,SMALL(Dong6,ROWS($1:29)),))</f>
        <v>41167</v>
      </c>
      <c r="B39" s="705" t="str">
        <f ca="1">IF(ROWS($1:29)&gt;COUNT(Dong6),"",OFFSET(TH!D$1,SMALL(Dong6,ROWS($1:29)),))</f>
        <v>X01</v>
      </c>
      <c r="C39" s="704">
        <f ca="1">IF(ROWS($1:29)&gt;COUNT(Dong6),"",OFFSET(TH!E$1,SMALL(Dong6,ROWS($1:29)),))</f>
        <v>41167</v>
      </c>
      <c r="D39" s="706" t="str">
        <f ca="1">IF(ROWS($1:29)&gt;COUNT(Dong6),"",OFFSET(TH!F$1,SMALL(Dong6,ROWS($1:29)),))</f>
        <v>VAT Thùng</v>
      </c>
      <c r="E39" s="705">
        <f t="shared" ca="1" si="0"/>
        <v>29</v>
      </c>
      <c r="F39" s="707" t="str">
        <f ca="1">IF(ROWS($1:29)&gt;COUNT(Dong6),"",OFFSET(TH!L$1,SMALL(Dong6,ROWS($1:29)),))</f>
        <v>131</v>
      </c>
      <c r="G39" s="707" t="str">
        <f ca="1">IF(ROWS($1:29)&gt;COUNT(Dong6),"",OFFSET(TH!M$1,SMALL(Dong6,ROWS($1:29)),))</f>
        <v>3331</v>
      </c>
      <c r="H39" s="610">
        <f ca="1">IF(ROWS($1:29)&gt;COUNT(Dong6),"",OFFSET(TH!K$1,SMALL(Dong6,ROWS($1:29)),))</f>
        <v>1866600</v>
      </c>
      <c r="I39" s="610">
        <f ca="1">IF(ROWS($1:29)&gt;COUNT(Dong6),"",OFFSET(TH!K$1,SMALL(Dong6,ROWS($1:29)),))</f>
        <v>1866600</v>
      </c>
    </row>
    <row r="40" spans="1:9" s="696" customFormat="1" ht="21" customHeight="1">
      <c r="A40" s="704">
        <f ca="1">IF(ROWS($1:30)&gt;COUNT(Dong6),"",OFFSET(TH!C$1,SMALL(Dong6,ROWS($1:30)),))</f>
        <v>41167</v>
      </c>
      <c r="B40" s="705" t="str">
        <f ca="1">IF(ROWS($1:30)&gt;COUNT(Dong6),"",OFFSET(TH!D$1,SMALL(Dong6,ROWS($1:30)),))</f>
        <v>X02</v>
      </c>
      <c r="C40" s="704">
        <f ca="1">IF(ROWS($1:30)&gt;COUNT(Dong6),"",OFFSET(TH!E$1,SMALL(Dong6,ROWS($1:30)),))</f>
        <v>41167</v>
      </c>
      <c r="D40" s="706" t="str">
        <f ca="1">IF(ROWS($1:30)&gt;COUNT(Dong6),"",OFFSET(TH!F$1,SMALL(Dong6,ROWS($1:30)),))</f>
        <v>Thùng carton (51,5x26x26)</v>
      </c>
      <c r="E40" s="705">
        <f t="shared" ca="1" si="0"/>
        <v>30</v>
      </c>
      <c r="F40" s="707" t="str">
        <f ca="1">IF(ROWS($1:30)&gt;COUNT(Dong6),"",OFFSET(TH!L$1,SMALL(Dong6,ROWS($1:30)),))</f>
        <v>131</v>
      </c>
      <c r="G40" s="707" t="str">
        <f ca="1">IF(ROWS($1:30)&gt;COUNT(Dong6),"",OFFSET(TH!M$1,SMALL(Dong6,ROWS($1:30)),))</f>
        <v>5112</v>
      </c>
      <c r="H40" s="610">
        <f ca="1">IF(ROWS($1:30)&gt;COUNT(Dong6),"",OFFSET(TH!K$1,SMALL(Dong6,ROWS($1:30)),))</f>
        <v>7294920</v>
      </c>
      <c r="I40" s="610">
        <f ca="1">IF(ROWS($1:30)&gt;COUNT(Dong6),"",OFFSET(TH!K$1,SMALL(Dong6,ROWS($1:30)),))</f>
        <v>7294920</v>
      </c>
    </row>
    <row r="41" spans="1:9" s="696" customFormat="1" ht="21" customHeight="1">
      <c r="A41" s="704">
        <f ca="1">IF(ROWS($1:31)&gt;COUNT(Dong6),"",OFFSET(TH!C$1,SMALL(Dong6,ROWS($1:31)),))</f>
        <v>41167</v>
      </c>
      <c r="B41" s="705" t="str">
        <f ca="1">IF(ROWS($1:31)&gt;COUNT(Dong6),"",OFFSET(TH!D$1,SMALL(Dong6,ROWS($1:31)),))</f>
        <v>X02</v>
      </c>
      <c r="C41" s="704">
        <f ca="1">IF(ROWS($1:31)&gt;COUNT(Dong6),"",OFFSET(TH!E$1,SMALL(Dong6,ROWS($1:31)),))</f>
        <v>41167</v>
      </c>
      <c r="D41" s="706" t="str">
        <f ca="1">IF(ROWS($1:31)&gt;COUNT(Dong6),"",OFFSET(TH!F$1,SMALL(Dong6,ROWS($1:31)),))</f>
        <v>VAT Thùng</v>
      </c>
      <c r="E41" s="705">
        <f t="shared" ref="E41:E50" ca="1" si="1">IF(D41&lt;&gt;"",ROW()-10,"")</f>
        <v>31</v>
      </c>
      <c r="F41" s="707" t="str">
        <f ca="1">IF(ROWS($1:31)&gt;COUNT(Dong6),"",OFFSET(TH!L$1,SMALL(Dong6,ROWS($1:31)),))</f>
        <v>131</v>
      </c>
      <c r="G41" s="707" t="str">
        <f ca="1">IF(ROWS($1:31)&gt;COUNT(Dong6),"",OFFSET(TH!M$1,SMALL(Dong6,ROWS($1:31)),))</f>
        <v>3331</v>
      </c>
      <c r="H41" s="610">
        <f ca="1">IF(ROWS($1:31)&gt;COUNT(Dong6),"",OFFSET(TH!K$1,SMALL(Dong6,ROWS($1:31)),))</f>
        <v>729492</v>
      </c>
      <c r="I41" s="610">
        <f ca="1">IF(ROWS($1:31)&gt;COUNT(Dong6),"",OFFSET(TH!K$1,SMALL(Dong6,ROWS($1:31)),))</f>
        <v>729492</v>
      </c>
    </row>
    <row r="42" spans="1:9" s="696" customFormat="1" ht="21" customHeight="1">
      <c r="A42" s="704">
        <f ca="1">IF(ROWS($1:32)&gt;COUNT(Dong6),"",OFFSET(TH!C$1,SMALL(Dong6,ROWS($1:32)),))</f>
        <v>41167</v>
      </c>
      <c r="B42" s="705" t="str">
        <f ca="1">IF(ROWS($1:32)&gt;COUNT(Dong6),"",OFFSET(TH!D$1,SMALL(Dong6,ROWS($1:32)),))</f>
        <v>X03</v>
      </c>
      <c r="C42" s="704">
        <f ca="1">IF(ROWS($1:32)&gt;COUNT(Dong6),"",OFFSET(TH!E$1,SMALL(Dong6,ROWS($1:32)),))</f>
        <v>41167</v>
      </c>
      <c r="D42" s="706" t="str">
        <f ca="1">IF(ROWS($1:32)&gt;COUNT(Dong6),"",OFFSET(TH!F$1,SMALL(Dong6,ROWS($1:32)),))</f>
        <v>Thùng carton (51,5x22x32)</v>
      </c>
      <c r="E42" s="705">
        <f t="shared" ca="1" si="1"/>
        <v>32</v>
      </c>
      <c r="F42" s="707" t="str">
        <f ca="1">IF(ROWS($1:32)&gt;COUNT(Dong6),"",OFFSET(TH!L$1,SMALL(Dong6,ROWS($1:32)),))</f>
        <v>131</v>
      </c>
      <c r="G42" s="707" t="str">
        <f ca="1">IF(ROWS($1:32)&gt;COUNT(Dong6),"",OFFSET(TH!M$1,SMALL(Dong6,ROWS($1:32)),))</f>
        <v>5112</v>
      </c>
      <c r="H42" s="610">
        <f ca="1">IF(ROWS($1:32)&gt;COUNT(Dong6),"",OFFSET(TH!K$1,SMALL(Dong6,ROWS($1:32)),))</f>
        <v>6938148</v>
      </c>
      <c r="I42" s="610">
        <f ca="1">IF(ROWS($1:32)&gt;COUNT(Dong6),"",OFFSET(TH!K$1,SMALL(Dong6,ROWS($1:32)),))</f>
        <v>6938148</v>
      </c>
    </row>
    <row r="43" spans="1:9" s="696" customFormat="1" ht="21" customHeight="1">
      <c r="A43" s="704">
        <f ca="1">IF(ROWS($1:33)&gt;COUNT(Dong6),"",OFFSET(TH!C$1,SMALL(Dong6,ROWS($1:33)),))</f>
        <v>41167</v>
      </c>
      <c r="B43" s="705" t="str">
        <f ca="1">IF(ROWS($1:33)&gt;COUNT(Dong6),"",OFFSET(TH!D$1,SMALL(Dong6,ROWS($1:33)),))</f>
        <v>X03</v>
      </c>
      <c r="C43" s="704">
        <f ca="1">IF(ROWS($1:33)&gt;COUNT(Dong6),"",OFFSET(TH!E$1,SMALL(Dong6,ROWS($1:33)),))</f>
        <v>41167</v>
      </c>
      <c r="D43" s="706" t="str">
        <f ca="1">IF(ROWS($1:33)&gt;COUNT(Dong6),"",OFFSET(TH!F$1,SMALL(Dong6,ROWS($1:33)),))</f>
        <v>Thùng carton (51,5x22,5x22,5)</v>
      </c>
      <c r="E43" s="705">
        <f t="shared" ca="1" si="1"/>
        <v>33</v>
      </c>
      <c r="F43" s="707" t="str">
        <f ca="1">IF(ROWS($1:33)&gt;COUNT(Dong6),"",OFFSET(TH!L$1,SMALL(Dong6,ROWS($1:33)),))</f>
        <v>131</v>
      </c>
      <c r="G43" s="707" t="str">
        <f ca="1">IF(ROWS($1:33)&gt;COUNT(Dong6),"",OFFSET(TH!M$1,SMALL(Dong6,ROWS($1:33)),))</f>
        <v>5112</v>
      </c>
      <c r="H43" s="610">
        <f ca="1">IF(ROWS($1:33)&gt;COUNT(Dong6),"",OFFSET(TH!K$1,SMALL(Dong6,ROWS($1:33)),))</f>
        <v>6262000</v>
      </c>
      <c r="I43" s="610">
        <f ca="1">IF(ROWS($1:33)&gt;COUNT(Dong6),"",OFFSET(TH!K$1,SMALL(Dong6,ROWS($1:33)),))</f>
        <v>6262000</v>
      </c>
    </row>
    <row r="44" spans="1:9" s="696" customFormat="1" ht="21" customHeight="1">
      <c r="A44" s="704">
        <f ca="1">IF(ROWS($1:34)&gt;COUNT(Dong6),"",OFFSET(TH!C$1,SMALL(Dong6,ROWS($1:34)),))</f>
        <v>41167</v>
      </c>
      <c r="B44" s="705" t="str">
        <f ca="1">IF(ROWS($1:34)&gt;COUNT(Dong6),"",OFFSET(TH!D$1,SMALL(Dong6,ROWS($1:34)),))</f>
        <v>X03</v>
      </c>
      <c r="C44" s="704">
        <f ca="1">IF(ROWS($1:34)&gt;COUNT(Dong6),"",OFFSET(TH!E$1,SMALL(Dong6,ROWS($1:34)),))</f>
        <v>41167</v>
      </c>
      <c r="D44" s="706" t="str">
        <f ca="1">IF(ROWS($1:34)&gt;COUNT(Dong6),"",OFFSET(TH!F$1,SMALL(Dong6,ROWS($1:34)),))</f>
        <v>Thùng carton (51,5x28x28)</v>
      </c>
      <c r="E44" s="705">
        <f t="shared" ca="1" si="1"/>
        <v>34</v>
      </c>
      <c r="F44" s="707" t="str">
        <f ca="1">IF(ROWS($1:34)&gt;COUNT(Dong6),"",OFFSET(TH!L$1,SMALL(Dong6,ROWS($1:34)),))</f>
        <v>131</v>
      </c>
      <c r="G44" s="707" t="str">
        <f ca="1">IF(ROWS($1:34)&gt;COUNT(Dong6),"",OFFSET(TH!M$1,SMALL(Dong6,ROWS($1:34)),))</f>
        <v>5112</v>
      </c>
      <c r="H44" s="610">
        <f ca="1">IF(ROWS($1:34)&gt;COUNT(Dong6),"",OFFSET(TH!K$1,SMALL(Dong6,ROWS($1:34)),))</f>
        <v>7465500</v>
      </c>
      <c r="I44" s="610">
        <f ca="1">IF(ROWS($1:34)&gt;COUNT(Dong6),"",OFFSET(TH!K$1,SMALL(Dong6,ROWS($1:34)),))</f>
        <v>7465500</v>
      </c>
    </row>
    <row r="45" spans="1:9" s="696" customFormat="1" ht="21" customHeight="1">
      <c r="A45" s="704">
        <f ca="1">IF(ROWS($1:35)&gt;COUNT(Dong6),"",OFFSET(TH!C$1,SMALL(Dong6,ROWS($1:35)),))</f>
        <v>41167</v>
      </c>
      <c r="B45" s="705" t="str">
        <f ca="1">IF(ROWS($1:35)&gt;COUNT(Dong6),"",OFFSET(TH!D$1,SMALL(Dong6,ROWS($1:35)),))</f>
        <v>X03</v>
      </c>
      <c r="C45" s="704">
        <f ca="1">IF(ROWS($1:35)&gt;COUNT(Dong6),"",OFFSET(TH!E$1,SMALL(Dong6,ROWS($1:35)),))</f>
        <v>41167</v>
      </c>
      <c r="D45" s="706" t="str">
        <f ca="1">IF(ROWS($1:35)&gt;COUNT(Dong6),"",OFFSET(TH!F$1,SMALL(Dong6,ROWS($1:35)),))</f>
        <v>VAT Thùng</v>
      </c>
      <c r="E45" s="705">
        <f t="shared" ca="1" si="1"/>
        <v>35</v>
      </c>
      <c r="F45" s="707" t="str">
        <f ca="1">IF(ROWS($1:35)&gt;COUNT(Dong6),"",OFFSET(TH!L$1,SMALL(Dong6,ROWS($1:35)),))</f>
        <v>131</v>
      </c>
      <c r="G45" s="707" t="str">
        <f ca="1">IF(ROWS($1:35)&gt;COUNT(Dong6),"",OFFSET(TH!M$1,SMALL(Dong6,ROWS($1:35)),))</f>
        <v>3331</v>
      </c>
      <c r="H45" s="610">
        <f ca="1">IF(ROWS($1:35)&gt;COUNT(Dong6),"",OFFSET(TH!K$1,SMALL(Dong6,ROWS($1:35)),))</f>
        <v>2066564</v>
      </c>
      <c r="I45" s="610">
        <f ca="1">IF(ROWS($1:35)&gt;COUNT(Dong6),"",OFFSET(TH!K$1,SMALL(Dong6,ROWS($1:35)),))</f>
        <v>2066564</v>
      </c>
    </row>
    <row r="46" spans="1:9" s="696" customFormat="1" ht="21" customHeight="1">
      <c r="A46" s="704">
        <f ca="1">IF(ROWS($1:36)&gt;COUNT(Dong6),"",OFFSET(TH!C$1,SMALL(Dong6,ROWS($1:36)),))</f>
        <v>41169</v>
      </c>
      <c r="B46" s="705" t="str">
        <f ca="1">IF(ROWS($1:36)&gt;COUNT(Dong6),"",OFFSET(TH!D$1,SMALL(Dong6,ROWS($1:36)),))</f>
        <v>GBC</v>
      </c>
      <c r="C46" s="704">
        <f ca="1">IF(ROWS($1:36)&gt;COUNT(Dong6),"",OFFSET(TH!E$1,SMALL(Dong6,ROWS($1:36)),))</f>
        <v>41169</v>
      </c>
      <c r="D46" s="706" t="str">
        <f ca="1">IF(ROWS($1:36)&gt;COUNT(Dong6),"",OFFSET(TH!F$1,SMALL(Dong6,ROWS($1:36)),))</f>
        <v>Thu tiền hàng</v>
      </c>
      <c r="E46" s="705">
        <f t="shared" ca="1" si="1"/>
        <v>36</v>
      </c>
      <c r="F46" s="707" t="str">
        <f ca="1">IF(ROWS($1:36)&gt;COUNT(Dong6),"",OFFSET(TH!L$1,SMALL(Dong6,ROWS($1:36)),))</f>
        <v>1121</v>
      </c>
      <c r="G46" s="707" t="str">
        <f ca="1">IF(ROWS($1:36)&gt;COUNT(Dong6),"",OFFSET(TH!M$1,SMALL(Dong6,ROWS($1:36)),))</f>
        <v>131</v>
      </c>
      <c r="H46" s="610">
        <f ca="1">IF(ROWS($1:36)&gt;COUNT(Dong6),"",OFFSET(TH!K$1,SMALL(Dong6,ROWS($1:36)),))</f>
        <v>20532600</v>
      </c>
      <c r="I46" s="610">
        <f ca="1">IF(ROWS($1:36)&gt;COUNT(Dong6),"",OFFSET(TH!K$1,SMALL(Dong6,ROWS($1:36)),))</f>
        <v>20532600</v>
      </c>
    </row>
    <row r="47" spans="1:9" s="696" customFormat="1" ht="21" customHeight="1">
      <c r="A47" s="704">
        <f ca="1">IF(ROWS($1:37)&gt;COUNT(Dong6),"",OFFSET(TH!C$1,SMALL(Dong6,ROWS($1:37)),))</f>
        <v>41169</v>
      </c>
      <c r="B47" s="705" t="str">
        <f ca="1">IF(ROWS($1:37)&gt;COUNT(Dong6),"",OFFSET(TH!D$1,SMALL(Dong6,ROWS($1:37)),))</f>
        <v>X04</v>
      </c>
      <c r="C47" s="704">
        <f ca="1">IF(ROWS($1:37)&gt;COUNT(Dong6),"",OFFSET(TH!E$1,SMALL(Dong6,ROWS($1:37)),))</f>
        <v>41169</v>
      </c>
      <c r="D47" s="706" t="str">
        <f ca="1">IF(ROWS($1:37)&gt;COUNT(Dong6),"",OFFSET(TH!F$1,SMALL(Dong6,ROWS($1:37)),))</f>
        <v>Thùng carton (22x22x51,5)</v>
      </c>
      <c r="E47" s="705">
        <f t="shared" ca="1" si="1"/>
        <v>37</v>
      </c>
      <c r="F47" s="707" t="str">
        <f ca="1">IF(ROWS($1:37)&gt;COUNT(Dong6),"",OFFSET(TH!L$1,SMALL(Dong6,ROWS($1:37)),))</f>
        <v>131</v>
      </c>
      <c r="G47" s="707" t="str">
        <f ca="1">IF(ROWS($1:37)&gt;COUNT(Dong6),"",OFFSET(TH!M$1,SMALL(Dong6,ROWS($1:37)),))</f>
        <v>5112</v>
      </c>
      <c r="H47" s="610">
        <f ca="1">IF(ROWS($1:37)&gt;COUNT(Dong6),"",OFFSET(TH!K$1,SMALL(Dong6,ROWS($1:37)),))</f>
        <v>6180000</v>
      </c>
      <c r="I47" s="610">
        <f ca="1">IF(ROWS($1:37)&gt;COUNT(Dong6),"",OFFSET(TH!K$1,SMALL(Dong6,ROWS($1:37)),))</f>
        <v>6180000</v>
      </c>
    </row>
    <row r="48" spans="1:9" s="696" customFormat="1" ht="21" customHeight="1">
      <c r="A48" s="704">
        <f ca="1">IF(ROWS($1:38)&gt;COUNT(Dong6),"",OFFSET(TH!C$1,SMALL(Dong6,ROWS($1:38)),))</f>
        <v>41169</v>
      </c>
      <c r="B48" s="705" t="str">
        <f ca="1">IF(ROWS($1:38)&gt;COUNT(Dong6),"",OFFSET(TH!D$1,SMALL(Dong6,ROWS($1:38)),))</f>
        <v>X04</v>
      </c>
      <c r="C48" s="704">
        <f ca="1">IF(ROWS($1:38)&gt;COUNT(Dong6),"",OFFSET(TH!E$1,SMALL(Dong6,ROWS($1:38)),))</f>
        <v>41169</v>
      </c>
      <c r="D48" s="706" t="str">
        <f ca="1">IF(ROWS($1:38)&gt;COUNT(Dong6),"",OFFSET(TH!F$1,SMALL(Dong6,ROWS($1:38)),))</f>
        <v>VAT Thùng</v>
      </c>
      <c r="E48" s="705">
        <f t="shared" ca="1" si="1"/>
        <v>38</v>
      </c>
      <c r="F48" s="707" t="str">
        <f ca="1">IF(ROWS($1:38)&gt;COUNT(Dong6),"",OFFSET(TH!L$1,SMALL(Dong6,ROWS($1:38)),))</f>
        <v>131</v>
      </c>
      <c r="G48" s="707" t="str">
        <f ca="1">IF(ROWS($1:38)&gt;COUNT(Dong6),"",OFFSET(TH!M$1,SMALL(Dong6,ROWS($1:38)),))</f>
        <v>3331</v>
      </c>
      <c r="H48" s="610">
        <f ca="1">IF(ROWS($1:38)&gt;COUNT(Dong6),"",OFFSET(TH!K$1,SMALL(Dong6,ROWS($1:38)),))</f>
        <v>618000</v>
      </c>
      <c r="I48" s="610">
        <f ca="1">IF(ROWS($1:38)&gt;COUNT(Dong6),"",OFFSET(TH!K$1,SMALL(Dong6,ROWS($1:38)),))</f>
        <v>618000</v>
      </c>
    </row>
    <row r="49" spans="1:10" s="696" customFormat="1" ht="21" customHeight="1">
      <c r="A49" s="704">
        <f ca="1">IF(ROWS($1:39)&gt;COUNT(Dong6),"",OFFSET(TH!C$1,SMALL(Dong6,ROWS($1:39)),))</f>
        <v>41169</v>
      </c>
      <c r="B49" s="705" t="str">
        <f ca="1">IF(ROWS($1:39)&gt;COUNT(Dong6),"",OFFSET(TH!D$1,SMALL(Dong6,ROWS($1:39)),))</f>
        <v>X04</v>
      </c>
      <c r="C49" s="704">
        <f ca="1">IF(ROWS($1:39)&gt;COUNT(Dong6),"",OFFSET(TH!E$1,SMALL(Dong6,ROWS($1:39)),))</f>
        <v>41169</v>
      </c>
      <c r="D49" s="706" t="str">
        <f ca="1">IF(ROWS($1:39)&gt;COUNT(Dong6),"",OFFSET(TH!F$1,SMALL(Dong6,ROWS($1:39)),))</f>
        <v>Thu tiền hàng</v>
      </c>
      <c r="E49" s="705">
        <f t="shared" ca="1" si="1"/>
        <v>39</v>
      </c>
      <c r="F49" s="707" t="str">
        <f ca="1">IF(ROWS($1:39)&gt;COUNT(Dong6),"",OFFSET(TH!L$1,SMALL(Dong6,ROWS($1:39)),))</f>
        <v>1111</v>
      </c>
      <c r="G49" s="707" t="str">
        <f ca="1">IF(ROWS($1:39)&gt;COUNT(Dong6),"",OFFSET(TH!M$1,SMALL(Dong6,ROWS($1:39)),))</f>
        <v>131</v>
      </c>
      <c r="H49" s="610">
        <f ca="1">IF(ROWS($1:39)&gt;COUNT(Dong6),"",OFFSET(TH!K$1,SMALL(Dong6,ROWS($1:39)),))</f>
        <v>6798000</v>
      </c>
      <c r="I49" s="610">
        <f ca="1">IF(ROWS($1:39)&gt;COUNT(Dong6),"",OFFSET(TH!K$1,SMALL(Dong6,ROWS($1:39)),))</f>
        <v>6798000</v>
      </c>
    </row>
    <row r="50" spans="1:10" s="696" customFormat="1" ht="21" customHeight="1">
      <c r="A50" s="704">
        <f ca="1">IF(ROWS($1:40)&gt;COUNT(Dong6),"",OFFSET(TH!C$1,SMALL(Dong6,ROWS($1:40)),))</f>
        <v>41171</v>
      </c>
      <c r="B50" s="705" t="str">
        <f ca="1">IF(ROWS($1:40)&gt;COUNT(Dong6),"",OFFSET(TH!D$1,SMALL(Dong6,ROWS($1:40)),))</f>
        <v>C10</v>
      </c>
      <c r="C50" s="704">
        <f ca="1">IF(ROWS($1:40)&gt;COUNT(Dong6),"",OFFSET(TH!E$1,SMALL(Dong6,ROWS($1:40)),))</f>
        <v>41171</v>
      </c>
      <c r="D50" s="706" t="str">
        <f ca="1">IF(ROWS($1:40)&gt;COUNT(Dong6),"",OFFSET(TH!F$1,SMALL(Dong6,ROWS($1:40)),))</f>
        <v>Thanh toán tiền viễn thông</v>
      </c>
      <c r="E50" s="705">
        <f t="shared" ca="1" si="1"/>
        <v>40</v>
      </c>
      <c r="F50" s="707" t="str">
        <f ca="1">IF(ROWS($1:40)&gt;COUNT(Dong6),"",OFFSET(TH!L$1,SMALL(Dong6,ROWS($1:40)),))</f>
        <v>642</v>
      </c>
      <c r="G50" s="707" t="str">
        <f ca="1">IF(ROWS($1:40)&gt;COUNT(Dong6),"",OFFSET(TH!M$1,SMALL(Dong6,ROWS($1:40)),))</f>
        <v>1111</v>
      </c>
      <c r="H50" s="610">
        <f ca="1">IF(ROWS($1:40)&gt;COUNT(Dong6),"",OFFSET(TH!K$1,SMALL(Dong6,ROWS($1:40)),))</f>
        <v>233637</v>
      </c>
      <c r="I50" s="610">
        <f ca="1">IF(ROWS($1:40)&gt;COUNT(Dong6),"",OFFSET(TH!K$1,SMALL(Dong6,ROWS($1:40)),))</f>
        <v>233637</v>
      </c>
    </row>
    <row r="51" spans="1:10" s="696" customFormat="1" ht="21" customHeight="1">
      <c r="A51" s="704"/>
      <c r="B51" s="705"/>
      <c r="C51" s="704"/>
      <c r="D51" s="706"/>
      <c r="E51" s="705"/>
      <c r="F51" s="707"/>
      <c r="G51" s="707"/>
      <c r="H51" s="610"/>
      <c r="I51" s="610"/>
    </row>
    <row r="52" spans="1:10" s="696" customFormat="1" ht="21" customHeight="1">
      <c r="A52" s="708"/>
      <c r="B52" s="708"/>
      <c r="C52" s="708"/>
      <c r="D52" s="709" t="s">
        <v>284</v>
      </c>
      <c r="E52" s="710" t="s">
        <v>19</v>
      </c>
      <c r="F52" s="710"/>
      <c r="G52" s="710" t="s">
        <v>19</v>
      </c>
      <c r="H52" s="711">
        <f ca="1">SUBTOTAL(9,$H$10:$H$51)</f>
        <v>2689305846</v>
      </c>
      <c r="I52" s="711">
        <f ca="1">SUBTOTAL(9,I10:I51)</f>
        <v>2689305846</v>
      </c>
    </row>
    <row r="53" spans="1:10" s="696" customFormat="1" ht="15">
      <c r="A53" s="712" t="s">
        <v>343</v>
      </c>
    </row>
    <row r="54" spans="1:10" s="696" customFormat="1" ht="15">
      <c r="A54" s="712" t="str">
        <f ca="1">"- Ngày mở sổ: "&amp;DAY($A$11)&amp;"/"&amp;MONTH($A$11)&amp;"/ " &amp;YEAR($A$11)</f>
        <v>- Ngày mở sổ: 1/8/ 2012</v>
      </c>
    </row>
    <row r="55" spans="1:10" s="696" customFormat="1" ht="15">
      <c r="H55" s="131" t="str">
        <f ca="1">"Ngày "&amp;IF(OR($L$11=4,$L$11=6,$L$11=9,$L$11=11),"30",IF($L$11=2,"28","31"))&amp;" tháng "&amp;$N$8&amp;"  năm  "&amp;YEAR($A$14)</f>
        <v>Ngày 31 tháng 9  năm  2012</v>
      </c>
      <c r="I55" s="713"/>
      <c r="J55" s="713"/>
    </row>
    <row r="56" spans="1:10" s="696" customFormat="1" ht="15">
      <c r="B56" s="713" t="s">
        <v>281</v>
      </c>
      <c r="D56" s="713" t="s">
        <v>12</v>
      </c>
      <c r="H56" s="713" t="s">
        <v>282</v>
      </c>
      <c r="I56" s="713"/>
      <c r="J56" s="713"/>
    </row>
    <row r="57" spans="1:10" s="696" customFormat="1" ht="15">
      <c r="B57" s="713" t="s">
        <v>13</v>
      </c>
      <c r="D57" s="713" t="s">
        <v>13</v>
      </c>
      <c r="H57" s="713" t="s">
        <v>136</v>
      </c>
      <c r="I57" s="713"/>
      <c r="J57" s="713"/>
    </row>
    <row r="58" spans="1:10" s="696" customFormat="1" ht="15"/>
  </sheetData>
  <mergeCells count="10">
    <mergeCell ref="A8:A9"/>
    <mergeCell ref="B8:C8"/>
    <mergeCell ref="D8:D9"/>
    <mergeCell ref="E8:E9"/>
    <mergeCell ref="H8:I8"/>
    <mergeCell ref="F2:I3"/>
    <mergeCell ref="F1:I1"/>
    <mergeCell ref="F8:G8"/>
    <mergeCell ref="M7:N7"/>
    <mergeCell ref="H7:I7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1" right="0.6" top="0.2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68"/>
  <sheetViews>
    <sheetView topLeftCell="A5" workbookViewId="0">
      <pane ySplit="10" topLeftCell="A18" activePane="bottomLeft" state="frozen"/>
      <selection activeCell="A5" sqref="A5"/>
      <selection pane="bottomLeft" activeCell="A53" sqref="A53:XFD59"/>
    </sheetView>
  </sheetViews>
  <sheetFormatPr defaultRowHeight="15"/>
  <cols>
    <col min="1" max="1" width="7.7109375" style="174" customWidth="1"/>
    <col min="2" max="2" width="6.28515625" style="174" customWidth="1"/>
    <col min="3" max="3" width="7.42578125" style="174" customWidth="1"/>
    <col min="4" max="4" width="34.5703125" style="5" customWidth="1"/>
    <col min="5" max="5" width="6.28515625" style="174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MỘT THÀNH VIÊN KHỞI NGUYÊN AN</v>
      </c>
      <c r="G2" s="785" t="s">
        <v>145</v>
      </c>
      <c r="H2" s="785"/>
      <c r="I2" s="785"/>
    </row>
    <row r="3" spans="1:9" ht="15.75" customHeight="1">
      <c r="A3" s="1" t="str">
        <f>TH!A2</f>
        <v>Địa chỉ: Thửa đất số 144, tờ bản đồ số 12TĐH.1, tổ 1, khu phố Đông Tác, Phường Tân Đông Hiệp, Thị Xã Dĩ An, Tỉnh Bình Dương, Việt Nam</v>
      </c>
      <c r="G3" s="786" t="str">
        <f ca="1">IF(YEAR($A$15)&gt;=2015,"(Ban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3" s="786"/>
      <c r="I3" s="786"/>
    </row>
    <row r="4" spans="1:9">
      <c r="F4" s="17"/>
      <c r="G4" s="786"/>
      <c r="H4" s="786"/>
      <c r="I4" s="786"/>
    </row>
    <row r="5" spans="1:9" ht="17.25" customHeight="1">
      <c r="A5" s="787" t="s">
        <v>146</v>
      </c>
      <c r="B5" s="787"/>
      <c r="C5" s="787"/>
      <c r="D5" s="787"/>
      <c r="E5" s="787"/>
      <c r="F5" s="787"/>
      <c r="G5" s="787"/>
      <c r="H5" s="787"/>
      <c r="I5" s="787"/>
    </row>
    <row r="6" spans="1:9">
      <c r="A6" s="788" t="s">
        <v>147</v>
      </c>
      <c r="B6" s="789"/>
      <c r="C6" s="789"/>
      <c r="D6" s="789"/>
      <c r="E6" s="789"/>
      <c r="F6" s="789"/>
      <c r="G6" s="789"/>
      <c r="H6" s="789"/>
      <c r="I6" s="789"/>
    </row>
    <row r="7" spans="1:9">
      <c r="B7" s="5"/>
      <c r="C7" s="5"/>
      <c r="D7" s="179" t="s">
        <v>148</v>
      </c>
      <c r="E7" s="180" t="s">
        <v>9</v>
      </c>
    </row>
    <row r="8" spans="1:9">
      <c r="B8" s="5"/>
      <c r="C8" s="5"/>
      <c r="D8" s="179" t="s">
        <v>149</v>
      </c>
      <c r="E8" s="5" t="str">
        <f>VLOOKUP($E$7,DSTK,2,0)</f>
        <v xml:space="preserve"> Thuế GTGT được khấu trừ của HH, DV </v>
      </c>
    </row>
    <row r="9" spans="1:9">
      <c r="A9" s="789" t="s">
        <v>29</v>
      </c>
      <c r="B9" s="790"/>
      <c r="C9" s="790"/>
      <c r="D9" s="790"/>
      <c r="E9" s="790"/>
      <c r="F9" s="790"/>
      <c r="G9" s="790"/>
      <c r="H9" s="790"/>
      <c r="I9" s="790"/>
    </row>
    <row r="10" spans="1:9" ht="9.75" customHeight="1">
      <c r="C10" s="791"/>
      <c r="D10" s="792"/>
      <c r="E10" s="792"/>
      <c r="F10" s="792"/>
      <c r="G10" s="792"/>
      <c r="H10" s="792"/>
      <c r="I10" s="792"/>
    </row>
    <row r="11" spans="1:9" s="18" customFormat="1" ht="19.5" customHeight="1">
      <c r="A11" s="793" t="s">
        <v>20</v>
      </c>
      <c r="B11" s="783" t="s">
        <v>1</v>
      </c>
      <c r="C11" s="794"/>
      <c r="D11" s="793" t="s">
        <v>0</v>
      </c>
      <c r="E11" s="793" t="s">
        <v>14</v>
      </c>
      <c r="F11" s="783" t="s">
        <v>21</v>
      </c>
      <c r="G11" s="794"/>
      <c r="H11" s="783" t="s">
        <v>31</v>
      </c>
      <c r="I11" s="784"/>
    </row>
    <row r="12" spans="1:9" s="18" customFormat="1" ht="32.25" customHeight="1">
      <c r="A12" s="793"/>
      <c r="B12" s="229" t="s">
        <v>15</v>
      </c>
      <c r="C12" s="229" t="s">
        <v>32</v>
      </c>
      <c r="D12" s="793"/>
      <c r="E12" s="793"/>
      <c r="F12" s="229" t="s">
        <v>22</v>
      </c>
      <c r="G12" s="229" t="s">
        <v>23</v>
      </c>
      <c r="H12" s="229" t="s">
        <v>22</v>
      </c>
      <c r="I12" s="229" t="s">
        <v>23</v>
      </c>
    </row>
    <row r="13" spans="1:9" s="201" customFormat="1" ht="11.25" customHeight="1">
      <c r="A13" s="202" t="s">
        <v>2</v>
      </c>
      <c r="B13" s="203" t="s">
        <v>3</v>
      </c>
      <c r="C13" s="202" t="s">
        <v>4</v>
      </c>
      <c r="D13" s="202" t="s">
        <v>5</v>
      </c>
      <c r="E13" s="202" t="s">
        <v>6</v>
      </c>
      <c r="F13" s="202">
        <v>1</v>
      </c>
      <c r="G13" s="202">
        <v>2</v>
      </c>
      <c r="H13" s="202">
        <v>3</v>
      </c>
      <c r="I13" s="202">
        <v>4</v>
      </c>
    </row>
    <row r="14" spans="1:9" s="18" customFormat="1" ht="18" customHeight="1">
      <c r="A14" s="230"/>
      <c r="B14" s="225"/>
      <c r="C14" s="230"/>
      <c r="D14" s="224" t="s">
        <v>7</v>
      </c>
      <c r="E14" s="225"/>
      <c r="F14" s="231"/>
      <c r="G14" s="231"/>
      <c r="H14" s="231">
        <f>VLOOKUP($E$7,DSTK,3,0)</f>
        <v>0</v>
      </c>
      <c r="I14" s="231">
        <f>VLOOKUP($E$7,DSTK,4,0)</f>
        <v>0</v>
      </c>
    </row>
    <row r="15" spans="1:9" s="18" customFormat="1" ht="18" customHeight="1">
      <c r="A15" s="192">
        <f ca="1">IF(ROWS($1:1)&gt;COUNT(Dong5),"",OFFSET(TH!C$1,SMALL(Dong5,ROWS($1:1)),))</f>
        <v>41274</v>
      </c>
      <c r="B15" s="192" t="str">
        <f ca="1">IF(ROWS($1:1)&gt;COUNT(Dong5),"",OFFSET(TH!D$1,SMALL(Dong5,ROWS($1:1)),))</f>
        <v>BTKC</v>
      </c>
      <c r="C15" s="192">
        <f ca="1">IF(ROWS($1:1)&gt;COUNT(Dong5),"",OFFSET(TH!E$1,SMALL(Dong5,ROWS($1:1)),))</f>
        <v>41274</v>
      </c>
      <c r="D15" s="232" t="str">
        <f ca="1">IF(ROWS($1:1)&gt;COUNT(Dong5),"",OFFSET(TH!F$1,SMALL(Dong5,ROWS($1:1)),))</f>
        <v>K/C Thuế GTGT đầu ra</v>
      </c>
      <c r="E15" s="192" t="str">
        <f ca="1">IF(ROWS($1:1)&gt;COUNT(Dong5),"",IF(OFFSET(TH!L$1,SMALL(Dong5,ROWS($1:1)),)=$E$7,OFFSET(TH!M$1,SMALL(Dong5,ROWS($1:1)),),OFFSET(TH!L$1,SMALL(Dong5,ROWS($1:1)),)))</f>
        <v>3331</v>
      </c>
      <c r="F15" s="233">
        <f ca="1">IF(ROWS($1:1)&gt;COUNT(Dong5),0,IF(OFFSET(TH!L$1,SMALL(Dong5,ROWS($1:1)),)=$E$7,OFFSET(TH!K$1,SMALL(Dong5,ROWS($1:1)),),0))</f>
        <v>0</v>
      </c>
      <c r="G15" s="231">
        <f ca="1">IF(ROWS($1:1)&gt;COUNT(Dong5),0,IF(OFFSET(TH!M$1,SMALL(Dong5,ROWS($1:1)),)=$E$7,OFFSET(TH!K$1,SMALL(Dong5,ROWS($1:1)),),0))</f>
        <v>24549095</v>
      </c>
      <c r="H15" s="234">
        <f ca="1">IF(D15&lt;&gt;"",MAX(H14+F15-G15-I14,0),0)</f>
        <v>0</v>
      </c>
      <c r="I15" s="234">
        <f ca="1">IF(D15&lt;&gt;"",MAX(I14+G15-H14-F15,0),0)</f>
        <v>24549095</v>
      </c>
    </row>
    <row r="16" spans="1:9" s="18" customFormat="1" ht="18" customHeight="1">
      <c r="A16" s="192">
        <f ca="1">IF(ROWS($1:2)&gt;COUNT(Dong5),"",OFFSET(TH!C$1,SMALL(Dong5,ROWS($1:2)),))</f>
        <v>41136</v>
      </c>
      <c r="B16" s="192" t="str">
        <f ca="1">IF(ROWS($1:2)&gt;COUNT(Dong5),"",OFFSET(TH!D$1,SMALL(Dong5,ROWS($1:2)),))</f>
        <v>C02</v>
      </c>
      <c r="C16" s="192">
        <f ca="1">IF(ROWS($1:2)&gt;COUNT(Dong5),"",OFFSET(TH!E$1,SMALL(Dong5,ROWS($1:2)),))</f>
        <v>41136</v>
      </c>
      <c r="D16" s="232" t="str">
        <f ca="1">IF(ROWS($1:2)&gt;COUNT(Dong5),"",OFFSET(TH!F$1,SMALL(Dong5,ROWS($1:2)),))</f>
        <v>VAT Dây mạ kẽm</v>
      </c>
      <c r="E16" s="192" t="str">
        <f ca="1">IF(ROWS($1:2)&gt;COUNT(Dong5),"",IF(OFFSET(TH!L$1,SMALL(Dong5,ROWS($1:2)),)=$E$7,OFFSET(TH!M$1,SMALL(Dong5,ROWS($1:2)),),OFFSET(TH!L$1,SMALL(Dong5,ROWS($1:2)),)))</f>
        <v>1111</v>
      </c>
      <c r="F16" s="233">
        <f ca="1">IF(ROWS($1:2)&gt;COUNT(Dong5),0,IF(OFFSET(TH!L$1,SMALL(Dong5,ROWS($1:2)),)=$E$7,OFFSET(TH!K$1,SMALL(Dong5,ROWS($1:2)),),0))</f>
        <v>258000</v>
      </c>
      <c r="G16" s="231">
        <f ca="1">IF(ROWS($1:2)&gt;COUNT(Dong5),0,IF(OFFSET(TH!M$1,SMALL(Dong5,ROWS($1:2)),)=$E$7,OFFSET(TH!K$1,SMALL(Dong5,ROWS($1:2)),),0))</f>
        <v>0</v>
      </c>
      <c r="H16" s="234">
        <f t="shared" ref="H16:H20" ca="1" si="0">IF(D16&lt;&gt;"",MAX(H15+F16-G16-I15,0),0)</f>
        <v>0</v>
      </c>
      <c r="I16" s="234">
        <f t="shared" ref="I16:I20" ca="1" si="1">IF(D16&lt;&gt;"",MAX(I15+G16-H15-F16,0),0)</f>
        <v>24291095</v>
      </c>
    </row>
    <row r="17" spans="1:9" s="18" customFormat="1" ht="18" customHeight="1">
      <c r="A17" s="192">
        <f ca="1">IF(ROWS($1:3)&gt;COUNT(Dong5),"",OFFSET(TH!C$1,SMALL(Dong5,ROWS($1:3)),))</f>
        <v>41142</v>
      </c>
      <c r="B17" s="192" t="str">
        <f ca="1">IF(ROWS($1:3)&gt;COUNT(Dong5),"",OFFSET(TH!D$1,SMALL(Dong5,ROWS($1:3)),))</f>
        <v>C03</v>
      </c>
      <c r="C17" s="192">
        <f ca="1">IF(ROWS($1:3)&gt;COUNT(Dong5),"",OFFSET(TH!E$1,SMALL(Dong5,ROWS($1:3)),))</f>
        <v>41142</v>
      </c>
      <c r="D17" s="232" t="str">
        <f ca="1">IF(ROWS($1:3)&gt;COUNT(Dong5),"",OFFSET(TH!F$1,SMALL(Dong5,ROWS($1:3)),))</f>
        <v>VAT Tiền đặt in hóa đơn</v>
      </c>
      <c r="E17" s="192" t="str">
        <f ca="1">IF(ROWS($1:3)&gt;COUNT(Dong5),"",IF(OFFSET(TH!L$1,SMALL(Dong5,ROWS($1:3)),)=$E$7,OFFSET(TH!M$1,SMALL(Dong5,ROWS($1:3)),),OFFSET(TH!L$1,SMALL(Dong5,ROWS($1:3)),)))</f>
        <v>1111</v>
      </c>
      <c r="F17" s="233">
        <f ca="1">IF(ROWS($1:3)&gt;COUNT(Dong5),0,IF(OFFSET(TH!L$1,SMALL(Dong5,ROWS($1:3)),)=$E$7,OFFSET(TH!K$1,SMALL(Dong5,ROWS($1:3)),),0))</f>
        <v>340000</v>
      </c>
      <c r="G17" s="231">
        <f ca="1">IF(ROWS($1:3)&gt;COUNT(Dong5),0,IF(OFFSET(TH!M$1,SMALL(Dong5,ROWS($1:3)),)=$E$7,OFFSET(TH!K$1,SMALL(Dong5,ROWS($1:3)),),0))</f>
        <v>0</v>
      </c>
      <c r="H17" s="234">
        <f t="shared" ca="1" si="0"/>
        <v>0</v>
      </c>
      <c r="I17" s="234">
        <f t="shared" ca="1" si="1"/>
        <v>23951095</v>
      </c>
    </row>
    <row r="18" spans="1:9" s="18" customFormat="1" ht="18" customHeight="1">
      <c r="A18" s="192">
        <f ca="1">IF(ROWS($1:4)&gt;COUNT(Dong5),"",OFFSET(TH!C$1,SMALL(Dong5,ROWS($1:4)),))</f>
        <v>41153</v>
      </c>
      <c r="B18" s="192" t="str">
        <f ca="1">IF(ROWS($1:4)&gt;COUNT(Dong5),"",OFFSET(TH!D$1,SMALL(Dong5,ROWS($1:4)),))</f>
        <v>N01</v>
      </c>
      <c r="C18" s="192">
        <f ca="1">IF(ROWS($1:4)&gt;COUNT(Dong5),"",OFFSET(TH!E$1,SMALL(Dong5,ROWS($1:4)),))</f>
        <v>41153</v>
      </c>
      <c r="D18" s="232" t="str">
        <f ca="1">IF(ROWS($1:4)&gt;COUNT(Dong5),"",OFFSET(TH!F$1,SMALL(Dong5,ROWS($1:4)),))</f>
        <v xml:space="preserve">VAT Giấy tấm </v>
      </c>
      <c r="E18" s="192" t="str">
        <f ca="1">IF(ROWS($1:4)&gt;COUNT(Dong5),"",IF(OFFSET(TH!L$1,SMALL(Dong5,ROWS($1:4)),)=$E$7,OFFSET(TH!M$1,SMALL(Dong5,ROWS($1:4)),),OFFSET(TH!L$1,SMALL(Dong5,ROWS($1:4)),)))</f>
        <v>331</v>
      </c>
      <c r="F18" s="233">
        <f ca="1">IF(ROWS($1:4)&gt;COUNT(Dong5),0,IF(OFFSET(TH!L$1,SMALL(Dong5,ROWS($1:4)),)=$E$7,OFFSET(TH!K$1,SMALL(Dong5,ROWS($1:4)),),0))</f>
        <v>1313520</v>
      </c>
      <c r="G18" s="231">
        <f ca="1">IF(ROWS($1:4)&gt;COUNT(Dong5),0,IF(OFFSET(TH!M$1,SMALL(Dong5,ROWS($1:4)),)=$E$7,OFFSET(TH!K$1,SMALL(Dong5,ROWS($1:4)),),0))</f>
        <v>0</v>
      </c>
      <c r="H18" s="234">
        <f t="shared" ca="1" si="0"/>
        <v>0</v>
      </c>
      <c r="I18" s="234">
        <f t="shared" ca="1" si="1"/>
        <v>22637575</v>
      </c>
    </row>
    <row r="19" spans="1:9" s="18" customFormat="1" ht="18" customHeight="1">
      <c r="A19" s="192">
        <f ca="1">IF(ROWS($1:5)&gt;COUNT(Dong5),"",OFFSET(TH!C$1,SMALL(Dong5,ROWS($1:5)),))</f>
        <v>41155</v>
      </c>
      <c r="B19" s="192" t="str">
        <f ca="1">IF(ROWS($1:5)&gt;COUNT(Dong5),"",OFFSET(TH!D$1,SMALL(Dong5,ROWS($1:5)),))</f>
        <v>N02</v>
      </c>
      <c r="C19" s="192">
        <f ca="1">IF(ROWS($1:5)&gt;COUNT(Dong5),"",OFFSET(TH!E$1,SMALL(Dong5,ROWS($1:5)),))</f>
        <v>41155</v>
      </c>
      <c r="D19" s="232" t="str">
        <f ca="1">IF(ROWS($1:5)&gt;COUNT(Dong5),"",OFFSET(TH!F$1,SMALL(Dong5,ROWS($1:5)),))</f>
        <v xml:space="preserve">VAT Giấy tấm </v>
      </c>
      <c r="E19" s="192" t="str">
        <f ca="1">IF(ROWS($1:5)&gt;COUNT(Dong5),"",IF(OFFSET(TH!L$1,SMALL(Dong5,ROWS($1:5)),)=$E$7,OFFSET(TH!M$1,SMALL(Dong5,ROWS($1:5)),),OFFSET(TH!L$1,SMALL(Dong5,ROWS($1:5)),)))</f>
        <v>331</v>
      </c>
      <c r="F19" s="233">
        <f ca="1">IF(ROWS($1:5)&gt;COUNT(Dong5),0,IF(OFFSET(TH!L$1,SMALL(Dong5,ROWS($1:5)),)=$E$7,OFFSET(TH!K$1,SMALL(Dong5,ROWS($1:5)),),0))</f>
        <v>1095400</v>
      </c>
      <c r="G19" s="231">
        <f ca="1">IF(ROWS($1:5)&gt;COUNT(Dong5),0,IF(OFFSET(TH!M$1,SMALL(Dong5,ROWS($1:5)),)=$E$7,OFFSET(TH!K$1,SMALL(Dong5,ROWS($1:5)),),0))</f>
        <v>0</v>
      </c>
      <c r="H19" s="234">
        <f t="shared" ca="1" si="0"/>
        <v>0</v>
      </c>
      <c r="I19" s="234">
        <f t="shared" ca="1" si="1"/>
        <v>21542175</v>
      </c>
    </row>
    <row r="20" spans="1:9" s="18" customFormat="1" ht="18" customHeight="1">
      <c r="A20" s="192">
        <f ca="1">IF(ROWS($1:6)&gt;COUNT(Dong5),"",OFFSET(TH!C$1,SMALL(Dong5,ROWS($1:6)),))</f>
        <v>41156</v>
      </c>
      <c r="B20" s="192" t="str">
        <f ca="1">IF(ROWS($1:6)&gt;COUNT(Dong5),"",OFFSET(TH!D$1,SMALL(Dong5,ROWS($1:6)),))</f>
        <v>N03</v>
      </c>
      <c r="C20" s="192">
        <f ca="1">IF(ROWS($1:6)&gt;COUNT(Dong5),"",OFFSET(TH!E$1,SMALL(Dong5,ROWS($1:6)),))</f>
        <v>41156</v>
      </c>
      <c r="D20" s="232" t="str">
        <f ca="1">IF(ROWS($1:6)&gt;COUNT(Dong5),"",OFFSET(TH!F$1,SMALL(Dong5,ROWS($1:6)),))</f>
        <v xml:space="preserve">VAT Giấy tấm </v>
      </c>
      <c r="E20" s="192" t="str">
        <f ca="1">IF(ROWS($1:6)&gt;COUNT(Dong5),"",IF(OFFSET(TH!L$1,SMALL(Dong5,ROWS($1:6)),)=$E$7,OFFSET(TH!M$1,SMALL(Dong5,ROWS($1:6)),),OFFSET(TH!L$1,SMALL(Dong5,ROWS($1:6)),)))</f>
        <v>331</v>
      </c>
      <c r="F20" s="233">
        <f ca="1">IF(ROWS($1:6)&gt;COUNT(Dong5),0,IF(OFFSET(TH!L$1,SMALL(Dong5,ROWS($1:6)),)=$E$7,OFFSET(TH!K$1,SMALL(Dong5,ROWS($1:6)),),0))</f>
        <v>1420826</v>
      </c>
      <c r="G20" s="231">
        <f ca="1">IF(ROWS($1:6)&gt;COUNT(Dong5),0,IF(OFFSET(TH!M$1,SMALL(Dong5,ROWS($1:6)),)=$E$7,OFFSET(TH!K$1,SMALL(Dong5,ROWS($1:6)),),0))</f>
        <v>0</v>
      </c>
      <c r="H20" s="234">
        <f t="shared" ca="1" si="0"/>
        <v>0</v>
      </c>
      <c r="I20" s="234">
        <f t="shared" ca="1" si="1"/>
        <v>20121349</v>
      </c>
    </row>
    <row r="21" spans="1:9" s="18" customFormat="1" ht="18" customHeight="1">
      <c r="A21" s="192">
        <f ca="1">IF(ROWS($1:7)&gt;COUNT(Dong5),"",OFFSET(TH!C$1,SMALL(Dong5,ROWS($1:7)),))</f>
        <v>41160</v>
      </c>
      <c r="B21" s="192" t="str">
        <f ca="1">IF(ROWS($1:7)&gt;COUNT(Dong5),"",OFFSET(TH!D$1,SMALL(Dong5,ROWS($1:7)),))</f>
        <v>N04</v>
      </c>
      <c r="C21" s="192">
        <f ca="1">IF(ROWS($1:7)&gt;COUNT(Dong5),"",OFFSET(TH!E$1,SMALL(Dong5,ROWS($1:7)),))</f>
        <v>41160</v>
      </c>
      <c r="D21" s="232" t="str">
        <f ca="1">IF(ROWS($1:7)&gt;COUNT(Dong5),"",OFFSET(TH!F$1,SMALL(Dong5,ROWS($1:7)),))</f>
        <v xml:space="preserve">VAT Giấy tấm </v>
      </c>
      <c r="E21" s="192" t="str">
        <f ca="1">IF(ROWS($1:7)&gt;COUNT(Dong5),"",IF(OFFSET(TH!L$1,SMALL(Dong5,ROWS($1:7)),)=$E$7,OFFSET(TH!M$1,SMALL(Dong5,ROWS($1:7)),),OFFSET(TH!L$1,SMALL(Dong5,ROWS($1:7)),)))</f>
        <v>331</v>
      </c>
      <c r="F21" s="233">
        <f ca="1">IF(ROWS($1:7)&gt;COUNT(Dong5),0,IF(OFFSET(TH!L$1,SMALL(Dong5,ROWS($1:7)),)=$E$7,OFFSET(TH!K$1,SMALL(Dong5,ROWS($1:7)),),0))</f>
        <v>513360</v>
      </c>
      <c r="G21" s="231">
        <f ca="1">IF(ROWS($1:7)&gt;COUNT(Dong5),0,IF(OFFSET(TH!M$1,SMALL(Dong5,ROWS($1:7)),)=$E$7,OFFSET(TH!K$1,SMALL(Dong5,ROWS($1:7)),),0))</f>
        <v>0</v>
      </c>
      <c r="H21" s="234">
        <f t="shared" ref="H21:H29" ca="1" si="2">IF(D21&lt;&gt;"",MAX(H20+F21-G21-I20,0),0)</f>
        <v>0</v>
      </c>
      <c r="I21" s="234">
        <f t="shared" ref="I21:I29" ca="1" si="3">IF(D21&lt;&gt;"",MAX(I20+G21-H20-F21,0),0)</f>
        <v>19607989</v>
      </c>
    </row>
    <row r="22" spans="1:9" s="18" customFormat="1" ht="18" customHeight="1">
      <c r="A22" s="192">
        <f ca="1">IF(ROWS($1:8)&gt;COUNT(Dong5),"",OFFSET(TH!C$1,SMALL(Dong5,ROWS($1:8)),))</f>
        <v>41171</v>
      </c>
      <c r="B22" s="192" t="str">
        <f ca="1">IF(ROWS($1:8)&gt;COUNT(Dong5),"",OFFSET(TH!D$1,SMALL(Dong5,ROWS($1:8)),))</f>
        <v>C10</v>
      </c>
      <c r="C22" s="192">
        <f ca="1">IF(ROWS($1:8)&gt;COUNT(Dong5),"",OFFSET(TH!E$1,SMALL(Dong5,ROWS($1:8)),))</f>
        <v>41171</v>
      </c>
      <c r="D22" s="232" t="str">
        <f ca="1">IF(ROWS($1:8)&gt;COUNT(Dong5),"",OFFSET(TH!F$1,SMALL(Dong5,ROWS($1:8)),))</f>
        <v>VAT Thanh toán tiền viễn thông</v>
      </c>
      <c r="E22" s="192" t="str">
        <f ca="1">IF(ROWS($1:8)&gt;COUNT(Dong5),"",IF(OFFSET(TH!L$1,SMALL(Dong5,ROWS($1:8)),)=$E$7,OFFSET(TH!M$1,SMALL(Dong5,ROWS($1:8)),),OFFSET(TH!L$1,SMALL(Dong5,ROWS($1:8)),)))</f>
        <v>1111</v>
      </c>
      <c r="F22" s="233">
        <f ca="1">IF(ROWS($1:8)&gt;COUNT(Dong5),0,IF(OFFSET(TH!L$1,SMALL(Dong5,ROWS($1:8)),)=$E$7,OFFSET(TH!K$1,SMALL(Dong5,ROWS($1:8)),),0))</f>
        <v>23363</v>
      </c>
      <c r="G22" s="231">
        <f ca="1">IF(ROWS($1:8)&gt;COUNT(Dong5),0,IF(OFFSET(TH!M$1,SMALL(Dong5,ROWS($1:8)),)=$E$7,OFFSET(TH!K$1,SMALL(Dong5,ROWS($1:8)),),0))</f>
        <v>0</v>
      </c>
      <c r="H22" s="234">
        <f t="shared" ca="1" si="2"/>
        <v>0</v>
      </c>
      <c r="I22" s="234">
        <f t="shared" ca="1" si="3"/>
        <v>19584626</v>
      </c>
    </row>
    <row r="23" spans="1:9" s="18" customFormat="1" ht="18" customHeight="1">
      <c r="A23" s="192">
        <f ca="1">IF(ROWS($1:9)&gt;COUNT(Dong5),"",OFFSET(TH!C$1,SMALL(Dong5,ROWS($1:9)),))</f>
        <v>41172</v>
      </c>
      <c r="B23" s="192" t="str">
        <f ca="1">IF(ROWS($1:9)&gt;COUNT(Dong5),"",OFFSET(TH!D$1,SMALL(Dong5,ROWS($1:9)),))</f>
        <v>N05</v>
      </c>
      <c r="C23" s="192">
        <f ca="1">IF(ROWS($1:9)&gt;COUNT(Dong5),"",OFFSET(TH!E$1,SMALL(Dong5,ROWS($1:9)),))</f>
        <v>41172</v>
      </c>
      <c r="D23" s="232" t="str">
        <f ca="1">IF(ROWS($1:9)&gt;COUNT(Dong5),"",OFFSET(TH!F$1,SMALL(Dong5,ROWS($1:9)),))</f>
        <v xml:space="preserve">VAT Giấy tấm </v>
      </c>
      <c r="E23" s="192" t="str">
        <f ca="1">IF(ROWS($1:9)&gt;COUNT(Dong5),"",IF(OFFSET(TH!L$1,SMALL(Dong5,ROWS($1:9)),)=$E$7,OFFSET(TH!M$1,SMALL(Dong5,ROWS($1:9)),),OFFSET(TH!L$1,SMALL(Dong5,ROWS($1:9)),)))</f>
        <v>331</v>
      </c>
      <c r="F23" s="233">
        <f ca="1">IF(ROWS($1:9)&gt;COUNT(Dong5),0,IF(OFFSET(TH!L$1,SMALL(Dong5,ROWS($1:9)),)=$E$7,OFFSET(TH!K$1,SMALL(Dong5,ROWS($1:9)),),0))</f>
        <v>514300</v>
      </c>
      <c r="G23" s="231">
        <f ca="1">IF(ROWS($1:9)&gt;COUNT(Dong5),0,IF(OFFSET(TH!M$1,SMALL(Dong5,ROWS($1:9)),)=$E$7,OFFSET(TH!K$1,SMALL(Dong5,ROWS($1:9)),),0))</f>
        <v>0</v>
      </c>
      <c r="H23" s="234">
        <f t="shared" ca="1" si="2"/>
        <v>0</v>
      </c>
      <c r="I23" s="234">
        <f t="shared" ca="1" si="3"/>
        <v>19070326</v>
      </c>
    </row>
    <row r="24" spans="1:9" s="18" customFormat="1" ht="18" customHeight="1">
      <c r="A24" s="192">
        <f ca="1">IF(ROWS($1:10)&gt;COUNT(Dong5),"",OFFSET(TH!C$1,SMALL(Dong5,ROWS($1:10)),))</f>
        <v>41182</v>
      </c>
      <c r="B24" s="192" t="str">
        <f ca="1">IF(ROWS($1:10)&gt;COUNT(Dong5),"",OFFSET(TH!D$1,SMALL(Dong5,ROWS($1:10)),))</f>
        <v>CTGS</v>
      </c>
      <c r="C24" s="192">
        <f ca="1">IF(ROWS($1:10)&gt;COUNT(Dong5),"",OFFSET(TH!E$1,SMALL(Dong5,ROWS($1:10)),))</f>
        <v>41182</v>
      </c>
      <c r="D24" s="232" t="str">
        <f ca="1">IF(ROWS($1:10)&gt;COUNT(Dong5),"",OFFSET(TH!F$1,SMALL(Dong5,ROWS($1:10)),))</f>
        <v>Thuế GTGT phải nộp</v>
      </c>
      <c r="E24" s="192" t="str">
        <f ca="1">IF(ROWS($1:10)&gt;COUNT(Dong5),"",IF(OFFSET(TH!L$1,SMALL(Dong5,ROWS($1:10)),)=$E$7,OFFSET(TH!M$1,SMALL(Dong5,ROWS($1:10)),),OFFSET(TH!L$1,SMALL(Dong5,ROWS($1:10)),)))</f>
        <v>3388</v>
      </c>
      <c r="F24" s="233">
        <f ca="1">IF(ROWS($1:10)&gt;COUNT(Dong5),0,IF(OFFSET(TH!L$1,SMALL(Dong5,ROWS($1:10)),)=$E$7,OFFSET(TH!K$1,SMALL(Dong5,ROWS($1:10)),),0))</f>
        <v>434287</v>
      </c>
      <c r="G24" s="231">
        <f ca="1">IF(ROWS($1:10)&gt;COUNT(Dong5),0,IF(OFFSET(TH!M$1,SMALL(Dong5,ROWS($1:10)),)=$E$7,OFFSET(TH!K$1,SMALL(Dong5,ROWS($1:10)),),0))</f>
        <v>0</v>
      </c>
      <c r="H24" s="234">
        <f t="shared" ca="1" si="2"/>
        <v>0</v>
      </c>
      <c r="I24" s="234">
        <f t="shared" ca="1" si="3"/>
        <v>18636039</v>
      </c>
    </row>
    <row r="25" spans="1:9" s="18" customFormat="1" ht="18" customHeight="1">
      <c r="A25" s="192">
        <f ca="1">IF(ROWS($1:11)&gt;COUNT(Dong5),"",OFFSET(TH!C$1,SMALL(Dong5,ROWS($1:11)),))</f>
        <v>41187</v>
      </c>
      <c r="B25" s="192" t="str">
        <f ca="1">IF(ROWS($1:11)&gt;COUNT(Dong5),"",OFFSET(TH!D$1,SMALL(Dong5,ROWS($1:11)),))</f>
        <v>GBN</v>
      </c>
      <c r="C25" s="192">
        <f ca="1">IF(ROWS($1:11)&gt;COUNT(Dong5),"",OFFSET(TH!E$1,SMALL(Dong5,ROWS($1:11)),))</f>
        <v>41187</v>
      </c>
      <c r="D25" s="232" t="str">
        <f ca="1">IF(ROWS($1:11)&gt;COUNT(Dong5),"",OFFSET(TH!F$1,SMALL(Dong5,ROWS($1:11)),))</f>
        <v>VAT Phí cấp sec</v>
      </c>
      <c r="E25" s="192" t="str">
        <f ca="1">IF(ROWS($1:11)&gt;COUNT(Dong5),"",IF(OFFSET(TH!L$1,SMALL(Dong5,ROWS($1:11)),)=$E$7,OFFSET(TH!M$1,SMALL(Dong5,ROWS($1:11)),),OFFSET(TH!L$1,SMALL(Dong5,ROWS($1:11)),)))</f>
        <v>1121</v>
      </c>
      <c r="F25" s="233">
        <f ca="1">IF(ROWS($1:11)&gt;COUNT(Dong5),0,IF(OFFSET(TH!L$1,SMALL(Dong5,ROWS($1:11)),)=$E$7,OFFSET(TH!K$1,SMALL(Dong5,ROWS($1:11)),),0))</f>
        <v>2000</v>
      </c>
      <c r="G25" s="231">
        <f ca="1">IF(ROWS($1:11)&gt;COUNT(Dong5),0,IF(OFFSET(TH!M$1,SMALL(Dong5,ROWS($1:11)),)=$E$7,OFFSET(TH!K$1,SMALL(Dong5,ROWS($1:11)),),0))</f>
        <v>0</v>
      </c>
      <c r="H25" s="234">
        <f t="shared" ca="1" si="2"/>
        <v>0</v>
      </c>
      <c r="I25" s="234">
        <f t="shared" ca="1" si="3"/>
        <v>18634039</v>
      </c>
    </row>
    <row r="26" spans="1:9" s="18" customFormat="1" ht="18" customHeight="1">
      <c r="A26" s="192">
        <f ca="1">IF(ROWS($1:12)&gt;COUNT(Dong5),"",OFFSET(TH!C$1,SMALL(Dong5,ROWS($1:12)),))</f>
        <v>41195</v>
      </c>
      <c r="B26" s="192" t="str">
        <f ca="1">IF(ROWS($1:12)&gt;COUNT(Dong5),"",OFFSET(TH!D$1,SMALL(Dong5,ROWS($1:12)),))</f>
        <v>N01</v>
      </c>
      <c r="C26" s="192">
        <f ca="1">IF(ROWS($1:12)&gt;COUNT(Dong5),"",OFFSET(TH!E$1,SMALL(Dong5,ROWS($1:12)),))</f>
        <v>41195</v>
      </c>
      <c r="D26" s="232" t="str">
        <f ca="1">IF(ROWS($1:12)&gt;COUNT(Dong5),"",OFFSET(TH!F$1,SMALL(Dong5,ROWS($1:12)),))</f>
        <v xml:space="preserve">VAT Giấy tấm </v>
      </c>
      <c r="E26" s="192" t="str">
        <f ca="1">IF(ROWS($1:12)&gt;COUNT(Dong5),"",IF(OFFSET(TH!L$1,SMALL(Dong5,ROWS($1:12)),)=$E$7,OFFSET(TH!M$1,SMALL(Dong5,ROWS($1:12)),),OFFSET(TH!L$1,SMALL(Dong5,ROWS($1:12)),)))</f>
        <v>331</v>
      </c>
      <c r="F26" s="233">
        <f ca="1">IF(ROWS($1:12)&gt;COUNT(Dong5),0,IF(OFFSET(TH!L$1,SMALL(Dong5,ROWS($1:12)),)=$E$7,OFFSET(TH!K$1,SMALL(Dong5,ROWS($1:12)),),0))</f>
        <v>637500</v>
      </c>
      <c r="G26" s="231">
        <f ca="1">IF(ROWS($1:12)&gt;COUNT(Dong5),0,IF(OFFSET(TH!M$1,SMALL(Dong5,ROWS($1:12)),)=$E$7,OFFSET(TH!K$1,SMALL(Dong5,ROWS($1:12)),),0))</f>
        <v>0</v>
      </c>
      <c r="H26" s="234">
        <f t="shared" ca="1" si="2"/>
        <v>0</v>
      </c>
      <c r="I26" s="234">
        <f t="shared" ca="1" si="3"/>
        <v>17996539</v>
      </c>
    </row>
    <row r="27" spans="1:9" s="18" customFormat="1" ht="18" customHeight="1">
      <c r="A27" s="192">
        <f ca="1">IF(ROWS($1:13)&gt;COUNT(Dong5),"",OFFSET(TH!C$1,SMALL(Dong5,ROWS($1:13)),))</f>
        <v>41201</v>
      </c>
      <c r="B27" s="192" t="str">
        <f ca="1">IF(ROWS($1:13)&gt;COUNT(Dong5),"",OFFSET(TH!D$1,SMALL(Dong5,ROWS($1:13)),))</f>
        <v>N02</v>
      </c>
      <c r="C27" s="192">
        <f ca="1">IF(ROWS($1:13)&gt;COUNT(Dong5),"",OFFSET(TH!E$1,SMALL(Dong5,ROWS($1:13)),))</f>
        <v>41201</v>
      </c>
      <c r="D27" s="232" t="str">
        <f ca="1">IF(ROWS($1:13)&gt;COUNT(Dong5),"",OFFSET(TH!F$1,SMALL(Dong5,ROWS($1:13)),))</f>
        <v xml:space="preserve">VAT Giấy tấm </v>
      </c>
      <c r="E27" s="192" t="str">
        <f ca="1">IF(ROWS($1:13)&gt;COUNT(Dong5),"",IF(OFFSET(TH!L$1,SMALL(Dong5,ROWS($1:13)),)=$E$7,OFFSET(TH!M$1,SMALL(Dong5,ROWS($1:13)),),OFFSET(TH!L$1,SMALL(Dong5,ROWS($1:13)),)))</f>
        <v>331</v>
      </c>
      <c r="F27" s="233">
        <f ca="1">IF(ROWS($1:13)&gt;COUNT(Dong5),0,IF(OFFSET(TH!L$1,SMALL(Dong5,ROWS($1:13)),)=$E$7,OFFSET(TH!K$1,SMALL(Dong5,ROWS($1:13)),),0))</f>
        <v>1008900</v>
      </c>
      <c r="G27" s="231">
        <f ca="1">IF(ROWS($1:13)&gt;COUNT(Dong5),0,IF(OFFSET(TH!M$1,SMALL(Dong5,ROWS($1:13)),)=$E$7,OFFSET(TH!K$1,SMALL(Dong5,ROWS($1:13)),),0))</f>
        <v>0</v>
      </c>
      <c r="H27" s="234">
        <f t="shared" ca="1" si="2"/>
        <v>0</v>
      </c>
      <c r="I27" s="234">
        <f t="shared" ca="1" si="3"/>
        <v>16987639</v>
      </c>
    </row>
    <row r="28" spans="1:9" s="18" customFormat="1" ht="18" customHeight="1">
      <c r="A28" s="192">
        <f ca="1">IF(ROWS($1:14)&gt;COUNT(Dong5),"",OFFSET(TH!C$1,SMALL(Dong5,ROWS($1:14)),))</f>
        <v>41202</v>
      </c>
      <c r="B28" s="192" t="str">
        <f ca="1">IF(ROWS($1:14)&gt;COUNT(Dong5),"",OFFSET(TH!D$1,SMALL(Dong5,ROWS($1:14)),))</f>
        <v>C05</v>
      </c>
      <c r="C28" s="192">
        <f ca="1">IF(ROWS($1:14)&gt;COUNT(Dong5),"",OFFSET(TH!E$1,SMALL(Dong5,ROWS($1:14)),))</f>
        <v>41202</v>
      </c>
      <c r="D28" s="232" t="str">
        <f ca="1">IF(ROWS($1:14)&gt;COUNT(Dong5),"",OFFSET(TH!F$1,SMALL(Dong5,ROWS($1:14)),))</f>
        <v>VAT Thanh toán tiền viễn thông</v>
      </c>
      <c r="E28" s="192" t="str">
        <f ca="1">IF(ROWS($1:14)&gt;COUNT(Dong5),"",IF(OFFSET(TH!L$1,SMALL(Dong5,ROWS($1:14)),)=$E$7,OFFSET(TH!M$1,SMALL(Dong5,ROWS($1:14)),),OFFSET(TH!L$1,SMALL(Dong5,ROWS($1:14)),)))</f>
        <v>1111</v>
      </c>
      <c r="F28" s="233">
        <f ca="1">IF(ROWS($1:14)&gt;COUNT(Dong5),0,IF(OFFSET(TH!L$1,SMALL(Dong5,ROWS($1:14)),)=$E$7,OFFSET(TH!K$1,SMALL(Dong5,ROWS($1:14)),),0))</f>
        <v>25000</v>
      </c>
      <c r="G28" s="231">
        <f ca="1">IF(ROWS($1:14)&gt;COUNT(Dong5),0,IF(OFFSET(TH!M$1,SMALL(Dong5,ROWS($1:14)),)=$E$7,OFFSET(TH!K$1,SMALL(Dong5,ROWS($1:14)),),0))</f>
        <v>0</v>
      </c>
      <c r="H28" s="234">
        <f t="shared" ca="1" si="2"/>
        <v>0</v>
      </c>
      <c r="I28" s="234">
        <f t="shared" ca="1" si="3"/>
        <v>16962639</v>
      </c>
    </row>
    <row r="29" spans="1:9" s="18" customFormat="1" ht="18" customHeight="1">
      <c r="A29" s="192">
        <f ca="1">IF(ROWS($1:15)&gt;COUNT(Dong5),"",OFFSET(TH!C$1,SMALL(Dong5,ROWS($1:15)),))</f>
        <v>41207</v>
      </c>
      <c r="B29" s="192" t="str">
        <f ca="1">IF(ROWS($1:15)&gt;COUNT(Dong5),"",OFFSET(TH!D$1,SMALL(Dong5,ROWS($1:15)),))</f>
        <v>N03</v>
      </c>
      <c r="C29" s="192">
        <f ca="1">IF(ROWS($1:15)&gt;COUNT(Dong5),"",OFFSET(TH!E$1,SMALL(Dong5,ROWS($1:15)),))</f>
        <v>41207</v>
      </c>
      <c r="D29" s="232" t="str">
        <f ca="1">IF(ROWS($1:15)&gt;COUNT(Dong5),"",OFFSET(TH!F$1,SMALL(Dong5,ROWS($1:15)),))</f>
        <v xml:space="preserve">VAT Giấy tấm </v>
      </c>
      <c r="E29" s="192" t="str">
        <f ca="1">IF(ROWS($1:15)&gt;COUNT(Dong5),"",IF(OFFSET(TH!L$1,SMALL(Dong5,ROWS($1:15)),)=$E$7,OFFSET(TH!M$1,SMALL(Dong5,ROWS($1:15)),),OFFSET(TH!L$1,SMALL(Dong5,ROWS($1:15)),)))</f>
        <v>331</v>
      </c>
      <c r="F29" s="233">
        <f ca="1">IF(ROWS($1:15)&gt;COUNT(Dong5),0,IF(OFFSET(TH!L$1,SMALL(Dong5,ROWS($1:15)),)=$E$7,OFFSET(TH!K$1,SMALL(Dong5,ROWS($1:15)),),0))</f>
        <v>1165300</v>
      </c>
      <c r="G29" s="231">
        <f ca="1">IF(ROWS($1:15)&gt;COUNT(Dong5),0,IF(OFFSET(TH!M$1,SMALL(Dong5,ROWS($1:15)),)=$E$7,OFFSET(TH!K$1,SMALL(Dong5,ROWS($1:15)),),0))</f>
        <v>0</v>
      </c>
      <c r="H29" s="234">
        <f t="shared" ca="1" si="2"/>
        <v>0</v>
      </c>
      <c r="I29" s="234">
        <f t="shared" ca="1" si="3"/>
        <v>15797339</v>
      </c>
    </row>
    <row r="30" spans="1:9" s="18" customFormat="1" ht="18" customHeight="1">
      <c r="A30" s="192">
        <f ca="1">IF(ROWS($1:16)&gt;COUNT(Dong5),"",OFFSET(TH!C$1,SMALL(Dong5,ROWS($1:16)),))</f>
        <v>41208</v>
      </c>
      <c r="B30" s="192" t="str">
        <f ca="1">IF(ROWS($1:16)&gt;COUNT(Dong5),"",OFFSET(TH!D$1,SMALL(Dong5,ROWS($1:16)),))</f>
        <v>N04</v>
      </c>
      <c r="C30" s="192">
        <f ca="1">IF(ROWS($1:16)&gt;COUNT(Dong5),"",OFFSET(TH!E$1,SMALL(Dong5,ROWS($1:16)),))</f>
        <v>41208</v>
      </c>
      <c r="D30" s="232" t="str">
        <f ca="1">IF(ROWS($1:16)&gt;COUNT(Dong5),"",OFFSET(TH!F$1,SMALL(Dong5,ROWS($1:16)),))</f>
        <v xml:space="preserve">VAT Giấy tấm </v>
      </c>
      <c r="E30" s="192" t="str">
        <f ca="1">IF(ROWS($1:16)&gt;COUNT(Dong5),"",IF(OFFSET(TH!L$1,SMALL(Dong5,ROWS($1:16)),)=$E$7,OFFSET(TH!M$1,SMALL(Dong5,ROWS($1:16)),),OFFSET(TH!L$1,SMALL(Dong5,ROWS($1:16)),)))</f>
        <v>331</v>
      </c>
      <c r="F30" s="233">
        <f ca="1">IF(ROWS($1:16)&gt;COUNT(Dong5),0,IF(OFFSET(TH!L$1,SMALL(Dong5,ROWS($1:16)),)=$E$7,OFFSET(TH!K$1,SMALL(Dong5,ROWS($1:16)),),0))</f>
        <v>612262</v>
      </c>
      <c r="G30" s="231">
        <f ca="1">IF(ROWS($1:16)&gt;COUNT(Dong5),0,IF(OFFSET(TH!M$1,SMALL(Dong5,ROWS($1:16)),)=$E$7,OFFSET(TH!K$1,SMALL(Dong5,ROWS($1:16)),),0))</f>
        <v>0</v>
      </c>
      <c r="H30" s="234">
        <f t="shared" ref="H30" ca="1" si="4">IF(D30&lt;&gt;"",MAX(H29+F30-G30-I29,0),0)</f>
        <v>0</v>
      </c>
      <c r="I30" s="234">
        <f t="shared" ref="I30" ca="1" si="5">IF(D30&lt;&gt;"",MAX(I29+G30-H29-F30,0),0)</f>
        <v>15185077</v>
      </c>
    </row>
    <row r="31" spans="1:9" s="18" customFormat="1" ht="18" customHeight="1">
      <c r="A31" s="192">
        <f ca="1">IF(ROWS($1:17)&gt;COUNT(Dong5),"",OFFSET(TH!C$1,SMALL(Dong5,ROWS($1:17)),))</f>
        <v>41209</v>
      </c>
      <c r="B31" s="192" t="str">
        <f ca="1">IF(ROWS($1:17)&gt;COUNT(Dong5),"",OFFSET(TH!D$1,SMALL(Dong5,ROWS($1:17)),))</f>
        <v>N05</v>
      </c>
      <c r="C31" s="192">
        <f ca="1">IF(ROWS($1:17)&gt;COUNT(Dong5),"",OFFSET(TH!E$1,SMALL(Dong5,ROWS($1:17)),))</f>
        <v>41209</v>
      </c>
      <c r="D31" s="232" t="str">
        <f ca="1">IF(ROWS($1:17)&gt;COUNT(Dong5),"",OFFSET(TH!F$1,SMALL(Dong5,ROWS($1:17)),))</f>
        <v>VAT Giấy tấm</v>
      </c>
      <c r="E31" s="192" t="str">
        <f ca="1">IF(ROWS($1:17)&gt;COUNT(Dong5),"",IF(OFFSET(TH!L$1,SMALL(Dong5,ROWS($1:17)),)=$E$7,OFFSET(TH!M$1,SMALL(Dong5,ROWS($1:17)),),OFFSET(TH!L$1,SMALL(Dong5,ROWS($1:17)),)))</f>
        <v>331</v>
      </c>
      <c r="F31" s="233">
        <f ca="1">IF(ROWS($1:17)&gt;COUNT(Dong5),0,IF(OFFSET(TH!L$1,SMALL(Dong5,ROWS($1:17)),)=$E$7,OFFSET(TH!K$1,SMALL(Dong5,ROWS($1:17)),),0))</f>
        <v>1231900</v>
      </c>
      <c r="G31" s="231">
        <f ca="1">IF(ROWS($1:17)&gt;COUNT(Dong5),0,IF(OFFSET(TH!M$1,SMALL(Dong5,ROWS($1:17)),)=$E$7,OFFSET(TH!K$1,SMALL(Dong5,ROWS($1:17)),),0))</f>
        <v>0</v>
      </c>
      <c r="H31" s="234">
        <f t="shared" ref="H31:H46" ca="1" si="6">IF(D31&lt;&gt;"",MAX(H30+F31-G31-I30,0),0)</f>
        <v>0</v>
      </c>
      <c r="I31" s="234">
        <f t="shared" ref="I31:I46" ca="1" si="7">IF(D31&lt;&gt;"",MAX(I30+G31-H30-F31,0),0)</f>
        <v>13953177</v>
      </c>
    </row>
    <row r="32" spans="1:9" s="18" customFormat="1" ht="18" customHeight="1">
      <c r="A32" s="192">
        <f ca="1">IF(ROWS($1:18)&gt;COUNT(Dong5),"",OFFSET(TH!C$1,SMALL(Dong5,ROWS($1:18)),))</f>
        <v>41213</v>
      </c>
      <c r="B32" s="192" t="str">
        <f ca="1">IF(ROWS($1:18)&gt;COUNT(Dong5),"",OFFSET(TH!D$1,SMALL(Dong5,ROWS($1:18)),))</f>
        <v>CTGS</v>
      </c>
      <c r="C32" s="192">
        <f ca="1">IF(ROWS($1:18)&gt;COUNT(Dong5),"",OFFSET(TH!E$1,SMALL(Dong5,ROWS($1:18)),))</f>
        <v>41213</v>
      </c>
      <c r="D32" s="232" t="str">
        <f ca="1">IF(ROWS($1:18)&gt;COUNT(Dong5),"",OFFSET(TH!F$1,SMALL(Dong5,ROWS($1:18)),))</f>
        <v>Thuế GTGT phải nộp</v>
      </c>
      <c r="E32" s="192" t="str">
        <f ca="1">IF(ROWS($1:18)&gt;COUNT(Dong5),"",IF(OFFSET(TH!L$1,SMALL(Dong5,ROWS($1:18)),)=$E$7,OFFSET(TH!M$1,SMALL(Dong5,ROWS($1:18)),),OFFSET(TH!L$1,SMALL(Dong5,ROWS($1:18)),)))</f>
        <v>3388</v>
      </c>
      <c r="F32" s="233">
        <f ca="1">IF(ROWS($1:18)&gt;COUNT(Dong5),0,IF(OFFSET(TH!L$1,SMALL(Dong5,ROWS($1:18)),)=$E$7,OFFSET(TH!K$1,SMALL(Dong5,ROWS($1:18)),),0))</f>
        <v>515398</v>
      </c>
      <c r="G32" s="231">
        <f ca="1">IF(ROWS($1:18)&gt;COUNT(Dong5),0,IF(OFFSET(TH!M$1,SMALL(Dong5,ROWS($1:18)),)=$E$7,OFFSET(TH!K$1,SMALL(Dong5,ROWS($1:18)),),0))</f>
        <v>0</v>
      </c>
      <c r="H32" s="234">
        <f t="shared" ca="1" si="6"/>
        <v>0</v>
      </c>
      <c r="I32" s="234">
        <f t="shared" ca="1" si="7"/>
        <v>13437779</v>
      </c>
    </row>
    <row r="33" spans="1:9" s="18" customFormat="1" ht="18" customHeight="1">
      <c r="A33" s="192">
        <f ca="1">IF(ROWS($1:19)&gt;COUNT(Dong5),"",OFFSET(TH!C$1,SMALL(Dong5,ROWS($1:19)),))</f>
        <v>41215</v>
      </c>
      <c r="B33" s="192" t="str">
        <f ca="1">IF(ROWS($1:19)&gt;COUNT(Dong5),"",OFFSET(TH!D$1,SMALL(Dong5,ROWS($1:19)),))</f>
        <v>N06</v>
      </c>
      <c r="C33" s="192">
        <f ca="1">IF(ROWS($1:19)&gt;COUNT(Dong5),"",OFFSET(TH!E$1,SMALL(Dong5,ROWS($1:19)),))</f>
        <v>41215</v>
      </c>
      <c r="D33" s="232" t="str">
        <f ca="1">IF(ROWS($1:19)&gt;COUNT(Dong5),"",OFFSET(TH!F$1,SMALL(Dong5,ROWS($1:19)),))</f>
        <v xml:space="preserve">VAT Giấy tấm </v>
      </c>
      <c r="E33" s="192" t="str">
        <f ca="1">IF(ROWS($1:19)&gt;COUNT(Dong5),"",IF(OFFSET(TH!L$1,SMALL(Dong5,ROWS($1:19)),)=$E$7,OFFSET(TH!M$1,SMALL(Dong5,ROWS($1:19)),),OFFSET(TH!L$1,SMALL(Dong5,ROWS($1:19)),)))</f>
        <v>331</v>
      </c>
      <c r="F33" s="233">
        <f ca="1">IF(ROWS($1:19)&gt;COUNT(Dong5),0,IF(OFFSET(TH!L$1,SMALL(Dong5,ROWS($1:19)),)=$E$7,OFFSET(TH!K$1,SMALL(Dong5,ROWS($1:19)),),0))</f>
        <v>1275000</v>
      </c>
      <c r="G33" s="231">
        <f ca="1">IF(ROWS($1:19)&gt;COUNT(Dong5),0,IF(OFFSET(TH!M$1,SMALL(Dong5,ROWS($1:19)),)=$E$7,OFFSET(TH!K$1,SMALL(Dong5,ROWS($1:19)),),0))</f>
        <v>0</v>
      </c>
      <c r="H33" s="234">
        <f t="shared" ca="1" si="6"/>
        <v>0</v>
      </c>
      <c r="I33" s="234">
        <f t="shared" ca="1" si="7"/>
        <v>12162779</v>
      </c>
    </row>
    <row r="34" spans="1:9" s="18" customFormat="1" ht="18" customHeight="1">
      <c r="A34" s="192">
        <f ca="1">IF(ROWS($1:20)&gt;COUNT(Dong5),"",OFFSET(TH!C$1,SMALL(Dong5,ROWS($1:20)),))</f>
        <v>41215</v>
      </c>
      <c r="B34" s="192" t="str">
        <f ca="1">IF(ROWS($1:20)&gt;COUNT(Dong5),"",OFFSET(TH!D$1,SMALL(Dong5,ROWS($1:20)),))</f>
        <v>N07</v>
      </c>
      <c r="C34" s="192">
        <f ca="1">IF(ROWS($1:20)&gt;COUNT(Dong5),"",OFFSET(TH!E$1,SMALL(Dong5,ROWS($1:20)),))</f>
        <v>41215</v>
      </c>
      <c r="D34" s="232" t="str">
        <f ca="1">IF(ROWS($1:20)&gt;COUNT(Dong5),"",OFFSET(TH!F$1,SMALL(Dong5,ROWS($1:20)),))</f>
        <v xml:space="preserve">VAT Giấy tấm </v>
      </c>
      <c r="E34" s="192" t="str">
        <f ca="1">IF(ROWS($1:20)&gt;COUNT(Dong5),"",IF(OFFSET(TH!L$1,SMALL(Dong5,ROWS($1:20)),)=$E$7,OFFSET(TH!M$1,SMALL(Dong5,ROWS($1:20)),),OFFSET(TH!L$1,SMALL(Dong5,ROWS($1:20)),)))</f>
        <v>331</v>
      </c>
      <c r="F34" s="233">
        <f ca="1">IF(ROWS($1:20)&gt;COUNT(Dong5),0,IF(OFFSET(TH!L$1,SMALL(Dong5,ROWS($1:20)),)=$E$7,OFFSET(TH!K$1,SMALL(Dong5,ROWS($1:20)),),0))</f>
        <v>514900</v>
      </c>
      <c r="G34" s="231">
        <f ca="1">IF(ROWS($1:20)&gt;COUNT(Dong5),0,IF(OFFSET(TH!M$1,SMALL(Dong5,ROWS($1:20)),)=$E$7,OFFSET(TH!K$1,SMALL(Dong5,ROWS($1:20)),),0))</f>
        <v>0</v>
      </c>
      <c r="H34" s="234">
        <f t="shared" ca="1" si="6"/>
        <v>0</v>
      </c>
      <c r="I34" s="234">
        <f t="shared" ca="1" si="7"/>
        <v>11647879</v>
      </c>
    </row>
    <row r="35" spans="1:9" s="18" customFormat="1" ht="18" customHeight="1">
      <c r="A35" s="192">
        <f ca="1">IF(ROWS($1:21)&gt;COUNT(Dong5),"",OFFSET(TH!C$1,SMALL(Dong5,ROWS($1:21)),))</f>
        <v>41220</v>
      </c>
      <c r="B35" s="192" t="str">
        <f ca="1">IF(ROWS($1:21)&gt;COUNT(Dong5),"",OFFSET(TH!D$1,SMALL(Dong5,ROWS($1:21)),))</f>
        <v>C12</v>
      </c>
      <c r="C35" s="192">
        <f ca="1">IF(ROWS($1:21)&gt;COUNT(Dong5),"",OFFSET(TH!E$1,SMALL(Dong5,ROWS($1:21)),))</f>
        <v>41220</v>
      </c>
      <c r="D35" s="232" t="str">
        <f ca="1">IF(ROWS($1:21)&gt;COUNT(Dong5),"",OFFSET(TH!F$1,SMALL(Dong5,ROWS($1:21)),))</f>
        <v>VAT Vật dụng phòng khách</v>
      </c>
      <c r="E35" s="192" t="str">
        <f ca="1">IF(ROWS($1:21)&gt;COUNT(Dong5),"",IF(OFFSET(TH!L$1,SMALL(Dong5,ROWS($1:21)),)=$E$7,OFFSET(TH!M$1,SMALL(Dong5,ROWS($1:21)),),OFFSET(TH!L$1,SMALL(Dong5,ROWS($1:21)),)))</f>
        <v>1111</v>
      </c>
      <c r="F35" s="233">
        <f ca="1">IF(ROWS($1:21)&gt;COUNT(Dong5),0,IF(OFFSET(TH!L$1,SMALL(Dong5,ROWS($1:21)),)=$E$7,OFFSET(TH!K$1,SMALL(Dong5,ROWS($1:21)),),0))</f>
        <v>484545</v>
      </c>
      <c r="G35" s="231">
        <f ca="1">IF(ROWS($1:21)&gt;COUNT(Dong5),0,IF(OFFSET(TH!M$1,SMALL(Dong5,ROWS($1:21)),)=$E$7,OFFSET(TH!K$1,SMALL(Dong5,ROWS($1:21)),),0))</f>
        <v>0</v>
      </c>
      <c r="H35" s="234">
        <f t="shared" ca="1" si="6"/>
        <v>0</v>
      </c>
      <c r="I35" s="234">
        <f t="shared" ca="1" si="7"/>
        <v>11163334</v>
      </c>
    </row>
    <row r="36" spans="1:9" s="18" customFormat="1" ht="18" customHeight="1">
      <c r="A36" s="192">
        <f ca="1">IF(ROWS($1:22)&gt;COUNT(Dong5),"",OFFSET(TH!C$1,SMALL(Dong5,ROWS($1:22)),))</f>
        <v>41221</v>
      </c>
      <c r="B36" s="192" t="str">
        <f ca="1">IF(ROWS($1:22)&gt;COUNT(Dong5),"",OFFSET(TH!D$1,SMALL(Dong5,ROWS($1:22)),))</f>
        <v>C13</v>
      </c>
      <c r="C36" s="192">
        <f ca="1">IF(ROWS($1:22)&gt;COUNT(Dong5),"",OFFSET(TH!E$1,SMALL(Dong5,ROWS($1:22)),))</f>
        <v>41221</v>
      </c>
      <c r="D36" s="232" t="str">
        <f ca="1">IF(ROWS($1:22)&gt;COUNT(Dong5),"",OFFSET(TH!F$1,SMALL(Dong5,ROWS($1:22)),))</f>
        <v>VAT Vật liệu xây dựng</v>
      </c>
      <c r="E36" s="192" t="str">
        <f ca="1">IF(ROWS($1:22)&gt;COUNT(Dong5),"",IF(OFFSET(TH!L$1,SMALL(Dong5,ROWS($1:22)),)=$E$7,OFFSET(TH!M$1,SMALL(Dong5,ROWS($1:22)),),OFFSET(TH!L$1,SMALL(Dong5,ROWS($1:22)),)))</f>
        <v>1111</v>
      </c>
      <c r="F36" s="233">
        <f ca="1">IF(ROWS($1:22)&gt;COUNT(Dong5),0,IF(OFFSET(TH!L$1,SMALL(Dong5,ROWS($1:22)),)=$E$7,OFFSET(TH!K$1,SMALL(Dong5,ROWS($1:22)),),0))</f>
        <v>437255</v>
      </c>
      <c r="G36" s="231">
        <f ca="1">IF(ROWS($1:22)&gt;COUNT(Dong5),0,IF(OFFSET(TH!M$1,SMALL(Dong5,ROWS($1:22)),)=$E$7,OFFSET(TH!K$1,SMALL(Dong5,ROWS($1:22)),),0))</f>
        <v>0</v>
      </c>
      <c r="H36" s="234">
        <f t="shared" ca="1" si="6"/>
        <v>0</v>
      </c>
      <c r="I36" s="234">
        <f t="shared" ca="1" si="7"/>
        <v>10726079</v>
      </c>
    </row>
    <row r="37" spans="1:9" s="18" customFormat="1" ht="18" customHeight="1">
      <c r="A37" s="192">
        <f ca="1">IF(ROWS($1:23)&gt;COUNT(Dong5),"",OFFSET(TH!C$1,SMALL(Dong5,ROWS($1:23)),))</f>
        <v>41230</v>
      </c>
      <c r="B37" s="192" t="str">
        <f ca="1">IF(ROWS($1:23)&gt;COUNT(Dong5),"",OFFSET(TH!D$1,SMALL(Dong5,ROWS($1:23)),))</f>
        <v>N08</v>
      </c>
      <c r="C37" s="192">
        <f ca="1">IF(ROWS($1:23)&gt;COUNT(Dong5),"",OFFSET(TH!E$1,SMALL(Dong5,ROWS($1:23)),))</f>
        <v>41230</v>
      </c>
      <c r="D37" s="232" t="str">
        <f ca="1">IF(ROWS($1:23)&gt;COUNT(Dong5),"",OFFSET(TH!F$1,SMALL(Dong5,ROWS($1:23)),))</f>
        <v xml:space="preserve">VAT Giấy tấm </v>
      </c>
      <c r="E37" s="192" t="str">
        <f ca="1">IF(ROWS($1:23)&gt;COUNT(Dong5),"",IF(OFFSET(TH!L$1,SMALL(Dong5,ROWS($1:23)),)=$E$7,OFFSET(TH!M$1,SMALL(Dong5,ROWS($1:23)),),OFFSET(TH!L$1,SMALL(Dong5,ROWS($1:23)),)))</f>
        <v>331</v>
      </c>
      <c r="F37" s="233">
        <f ca="1">IF(ROWS($1:23)&gt;COUNT(Dong5),0,IF(OFFSET(TH!L$1,SMALL(Dong5,ROWS($1:23)),)=$E$7,OFFSET(TH!K$1,SMALL(Dong5,ROWS($1:23)),),0))</f>
        <v>1726515</v>
      </c>
      <c r="G37" s="231">
        <f ca="1">IF(ROWS($1:23)&gt;COUNT(Dong5),0,IF(OFFSET(TH!M$1,SMALL(Dong5,ROWS($1:23)),)=$E$7,OFFSET(TH!K$1,SMALL(Dong5,ROWS($1:23)),),0))</f>
        <v>0</v>
      </c>
      <c r="H37" s="234">
        <f t="shared" ca="1" si="6"/>
        <v>0</v>
      </c>
      <c r="I37" s="234">
        <f t="shared" ca="1" si="7"/>
        <v>8999564</v>
      </c>
    </row>
    <row r="38" spans="1:9" s="18" customFormat="1" ht="18" customHeight="1">
      <c r="A38" s="192">
        <f ca="1">IF(ROWS($1:24)&gt;COUNT(Dong5),"",OFFSET(TH!C$1,SMALL(Dong5,ROWS($1:24)),))</f>
        <v>41233</v>
      </c>
      <c r="B38" s="192" t="str">
        <f ca="1">IF(ROWS($1:24)&gt;COUNT(Dong5),"",OFFSET(TH!D$1,SMALL(Dong5,ROWS($1:24)),))</f>
        <v>C17</v>
      </c>
      <c r="C38" s="192">
        <f ca="1">IF(ROWS($1:24)&gt;COUNT(Dong5),"",OFFSET(TH!E$1,SMALL(Dong5,ROWS($1:24)),))</f>
        <v>41233</v>
      </c>
      <c r="D38" s="232" t="str">
        <f ca="1">IF(ROWS($1:24)&gt;COUNT(Dong5),"",OFFSET(TH!F$1,SMALL(Dong5,ROWS($1:24)),))</f>
        <v>VAT Thanh toán tiền viễn thông</v>
      </c>
      <c r="E38" s="192" t="str">
        <f ca="1">IF(ROWS($1:24)&gt;COUNT(Dong5),"",IF(OFFSET(TH!L$1,SMALL(Dong5,ROWS($1:24)),)=$E$7,OFFSET(TH!M$1,SMALL(Dong5,ROWS($1:24)),),OFFSET(TH!L$1,SMALL(Dong5,ROWS($1:24)),)))</f>
        <v>1111</v>
      </c>
      <c r="F38" s="233">
        <f ca="1">IF(ROWS($1:24)&gt;COUNT(Dong5),0,IF(OFFSET(TH!L$1,SMALL(Dong5,ROWS($1:24)),)=$E$7,OFFSET(TH!K$1,SMALL(Dong5,ROWS($1:24)),),0))</f>
        <v>25455</v>
      </c>
      <c r="G38" s="231">
        <f ca="1">IF(ROWS($1:24)&gt;COUNT(Dong5),0,IF(OFFSET(TH!M$1,SMALL(Dong5,ROWS($1:24)),)=$E$7,OFFSET(TH!K$1,SMALL(Dong5,ROWS($1:24)),),0))</f>
        <v>0</v>
      </c>
      <c r="H38" s="234">
        <f t="shared" ca="1" si="6"/>
        <v>0</v>
      </c>
      <c r="I38" s="234">
        <f t="shared" ca="1" si="7"/>
        <v>8974109</v>
      </c>
    </row>
    <row r="39" spans="1:9" s="18" customFormat="1" ht="18" customHeight="1">
      <c r="A39" s="192">
        <f ca="1">IF(ROWS($1:25)&gt;COUNT(Dong5),"",OFFSET(TH!C$1,SMALL(Dong5,ROWS($1:25)),))</f>
        <v>41235</v>
      </c>
      <c r="B39" s="192" t="str">
        <f ca="1">IF(ROWS($1:25)&gt;COUNT(Dong5),"",OFFSET(TH!D$1,SMALL(Dong5,ROWS($1:25)),))</f>
        <v>N09</v>
      </c>
      <c r="C39" s="192">
        <f ca="1">IF(ROWS($1:25)&gt;COUNT(Dong5),"",OFFSET(TH!E$1,SMALL(Dong5,ROWS($1:25)),))</f>
        <v>41235</v>
      </c>
      <c r="D39" s="232" t="str">
        <f ca="1">IF(ROWS($1:25)&gt;COUNT(Dong5),"",OFFSET(TH!F$1,SMALL(Dong5,ROWS($1:25)),))</f>
        <v xml:space="preserve">VAT Giấy tấm </v>
      </c>
      <c r="E39" s="192" t="str">
        <f ca="1">IF(ROWS($1:25)&gt;COUNT(Dong5),"",IF(OFFSET(TH!L$1,SMALL(Dong5,ROWS($1:25)),)=$E$7,OFFSET(TH!M$1,SMALL(Dong5,ROWS($1:25)),),OFFSET(TH!L$1,SMALL(Dong5,ROWS($1:25)),)))</f>
        <v>331</v>
      </c>
      <c r="F39" s="233">
        <f ca="1">IF(ROWS($1:25)&gt;COUNT(Dong5),0,IF(OFFSET(TH!L$1,SMALL(Dong5,ROWS($1:25)),)=$E$7,OFFSET(TH!K$1,SMALL(Dong5,ROWS($1:25)),),0))</f>
        <v>1546960</v>
      </c>
      <c r="G39" s="231">
        <f ca="1">IF(ROWS($1:25)&gt;COUNT(Dong5),0,IF(OFFSET(TH!M$1,SMALL(Dong5,ROWS($1:25)),)=$E$7,OFFSET(TH!K$1,SMALL(Dong5,ROWS($1:25)),),0))</f>
        <v>0</v>
      </c>
      <c r="H39" s="234">
        <f t="shared" ca="1" si="6"/>
        <v>0</v>
      </c>
      <c r="I39" s="234">
        <f t="shared" ca="1" si="7"/>
        <v>7427149</v>
      </c>
    </row>
    <row r="40" spans="1:9" s="18" customFormat="1" ht="18" customHeight="1">
      <c r="A40" s="192">
        <f ca="1">IF(ROWS($1:26)&gt;COUNT(Dong5),"",OFFSET(TH!C$1,SMALL(Dong5,ROWS($1:26)),))</f>
        <v>41237</v>
      </c>
      <c r="B40" s="192" t="str">
        <f ca="1">IF(ROWS($1:26)&gt;COUNT(Dong5),"",OFFSET(TH!D$1,SMALL(Dong5,ROWS($1:26)),))</f>
        <v>N10</v>
      </c>
      <c r="C40" s="192">
        <f ca="1">IF(ROWS($1:26)&gt;COUNT(Dong5),"",OFFSET(TH!E$1,SMALL(Dong5,ROWS($1:26)),))</f>
        <v>41237</v>
      </c>
      <c r="D40" s="232" t="str">
        <f ca="1">IF(ROWS($1:26)&gt;COUNT(Dong5),"",OFFSET(TH!F$1,SMALL(Dong5,ROWS($1:26)),))</f>
        <v xml:space="preserve">VAT Giấy tấm </v>
      </c>
      <c r="E40" s="192" t="str">
        <f ca="1">IF(ROWS($1:26)&gt;COUNT(Dong5),"",IF(OFFSET(TH!L$1,SMALL(Dong5,ROWS($1:26)),)=$E$7,OFFSET(TH!M$1,SMALL(Dong5,ROWS($1:26)),),OFFSET(TH!L$1,SMALL(Dong5,ROWS($1:26)),)))</f>
        <v>331</v>
      </c>
      <c r="F40" s="233">
        <f ca="1">IF(ROWS($1:26)&gt;COUNT(Dong5),0,IF(OFFSET(TH!L$1,SMALL(Dong5,ROWS($1:26)),)=$E$7,OFFSET(TH!K$1,SMALL(Dong5,ROWS($1:26)),),0))</f>
        <v>714987</v>
      </c>
      <c r="G40" s="231">
        <f ca="1">IF(ROWS($1:26)&gt;COUNT(Dong5),0,IF(OFFSET(TH!M$1,SMALL(Dong5,ROWS($1:26)),)=$E$7,OFFSET(TH!K$1,SMALL(Dong5,ROWS($1:26)),),0))</f>
        <v>0</v>
      </c>
      <c r="H40" s="234">
        <f t="shared" ca="1" si="6"/>
        <v>0</v>
      </c>
      <c r="I40" s="234">
        <f t="shared" ca="1" si="7"/>
        <v>6712162</v>
      </c>
    </row>
    <row r="41" spans="1:9" s="18" customFormat="1" ht="18" customHeight="1">
      <c r="A41" s="192">
        <f ca="1">IF(ROWS($1:27)&gt;COUNT(Dong5),"",OFFSET(TH!C$1,SMALL(Dong5,ROWS($1:27)),))</f>
        <v>41237</v>
      </c>
      <c r="B41" s="192" t="str">
        <f ca="1">IF(ROWS($1:27)&gt;COUNT(Dong5),"",OFFSET(TH!D$1,SMALL(Dong5,ROWS($1:27)),))</f>
        <v>C20</v>
      </c>
      <c r="C41" s="192">
        <f ca="1">IF(ROWS($1:27)&gt;COUNT(Dong5),"",OFFSET(TH!E$1,SMALL(Dong5,ROWS($1:27)),))</f>
        <v>41237</v>
      </c>
      <c r="D41" s="232" t="str">
        <f ca="1">IF(ROWS($1:27)&gt;COUNT(Dong5),"",OFFSET(TH!F$1,SMALL(Dong5,ROWS($1:27)),))</f>
        <v>VAT Dây mạ kẽm</v>
      </c>
      <c r="E41" s="192" t="str">
        <f ca="1">IF(ROWS($1:27)&gt;COUNT(Dong5),"",IF(OFFSET(TH!L$1,SMALL(Dong5,ROWS($1:27)),)=$E$7,OFFSET(TH!M$1,SMALL(Dong5,ROWS($1:27)),),OFFSET(TH!L$1,SMALL(Dong5,ROWS($1:27)),)))</f>
        <v>1111</v>
      </c>
      <c r="F41" s="233">
        <f ca="1">IF(ROWS($1:27)&gt;COUNT(Dong5),0,IF(OFFSET(TH!L$1,SMALL(Dong5,ROWS($1:27)),)=$E$7,OFFSET(TH!K$1,SMALL(Dong5,ROWS($1:27)),),0))</f>
        <v>252000</v>
      </c>
      <c r="G41" s="231">
        <f ca="1">IF(ROWS($1:27)&gt;COUNT(Dong5),0,IF(OFFSET(TH!M$1,SMALL(Dong5,ROWS($1:27)),)=$E$7,OFFSET(TH!K$1,SMALL(Dong5,ROWS($1:27)),),0))</f>
        <v>0</v>
      </c>
      <c r="H41" s="234">
        <f t="shared" ca="1" si="6"/>
        <v>0</v>
      </c>
      <c r="I41" s="234">
        <f t="shared" ca="1" si="7"/>
        <v>6460162</v>
      </c>
    </row>
    <row r="42" spans="1:9" s="18" customFormat="1" ht="18" customHeight="1">
      <c r="A42" s="192">
        <f ca="1">IF(ROWS($1:28)&gt;COUNT(Dong5),"",OFFSET(TH!C$1,SMALL(Dong5,ROWS($1:28)),))</f>
        <v>41242</v>
      </c>
      <c r="B42" s="192" t="str">
        <f ca="1">IF(ROWS($1:28)&gt;COUNT(Dong5),"",OFFSET(TH!D$1,SMALL(Dong5,ROWS($1:28)),))</f>
        <v>C21</v>
      </c>
      <c r="C42" s="192">
        <f ca="1">IF(ROWS($1:28)&gt;COUNT(Dong5),"",OFFSET(TH!E$1,SMALL(Dong5,ROWS($1:28)),))</f>
        <v>41242</v>
      </c>
      <c r="D42" s="232" t="str">
        <f ca="1">IF(ROWS($1:28)&gt;COUNT(Dong5),"",OFFSET(TH!F$1,SMALL(Dong5,ROWS($1:28)),))</f>
        <v>VAT Cước vận chuyển</v>
      </c>
      <c r="E42" s="192" t="str">
        <f ca="1">IF(ROWS($1:28)&gt;COUNT(Dong5),"",IF(OFFSET(TH!L$1,SMALL(Dong5,ROWS($1:28)),)=$E$7,OFFSET(TH!M$1,SMALL(Dong5,ROWS($1:28)),),OFFSET(TH!L$1,SMALL(Dong5,ROWS($1:28)),)))</f>
        <v>1111</v>
      </c>
      <c r="F42" s="233">
        <f ca="1">IF(ROWS($1:28)&gt;COUNT(Dong5),0,IF(OFFSET(TH!L$1,SMALL(Dong5,ROWS($1:28)),)=$E$7,OFFSET(TH!K$1,SMALL(Dong5,ROWS($1:28)),),0))</f>
        <v>300000</v>
      </c>
      <c r="G42" s="231">
        <f ca="1">IF(ROWS($1:28)&gt;COUNT(Dong5),0,IF(OFFSET(TH!M$1,SMALL(Dong5,ROWS($1:28)),)=$E$7,OFFSET(TH!K$1,SMALL(Dong5,ROWS($1:28)),),0))</f>
        <v>0</v>
      </c>
      <c r="H42" s="234">
        <f t="shared" ca="1" si="6"/>
        <v>0</v>
      </c>
      <c r="I42" s="234">
        <f t="shared" ca="1" si="7"/>
        <v>6160162</v>
      </c>
    </row>
    <row r="43" spans="1:9" s="18" customFormat="1" ht="18" customHeight="1">
      <c r="A43" s="192">
        <f ca="1">IF(ROWS($1:29)&gt;COUNT(Dong5),"",OFFSET(TH!C$1,SMALL(Dong5,ROWS($1:29)),))</f>
        <v>41246</v>
      </c>
      <c r="B43" s="192" t="str">
        <f ca="1">IF(ROWS($1:29)&gt;COUNT(Dong5),"",OFFSET(TH!D$1,SMALL(Dong5,ROWS($1:29)),))</f>
        <v>N11</v>
      </c>
      <c r="C43" s="192">
        <f ca="1">IF(ROWS($1:29)&gt;COUNT(Dong5),"",OFFSET(TH!E$1,SMALL(Dong5,ROWS($1:29)),))</f>
        <v>41246</v>
      </c>
      <c r="D43" s="232" t="str">
        <f ca="1">IF(ROWS($1:29)&gt;COUNT(Dong5),"",OFFSET(TH!F$1,SMALL(Dong5,ROWS($1:29)),))</f>
        <v xml:space="preserve">VAT Giấy tấm </v>
      </c>
      <c r="E43" s="192" t="str">
        <f ca="1">IF(ROWS($1:29)&gt;COUNT(Dong5),"",IF(OFFSET(TH!L$1,SMALL(Dong5,ROWS($1:29)),)=$E$7,OFFSET(TH!M$1,SMALL(Dong5,ROWS($1:29)),),OFFSET(TH!L$1,SMALL(Dong5,ROWS($1:29)),)))</f>
        <v>331</v>
      </c>
      <c r="F43" s="233">
        <f ca="1">IF(ROWS($1:29)&gt;COUNT(Dong5),0,IF(OFFSET(TH!L$1,SMALL(Dong5,ROWS($1:29)),)=$E$7,OFFSET(TH!K$1,SMALL(Dong5,ROWS($1:29)),),0))</f>
        <v>1335100</v>
      </c>
      <c r="G43" s="231">
        <f ca="1">IF(ROWS($1:29)&gt;COUNT(Dong5),0,IF(OFFSET(TH!M$1,SMALL(Dong5,ROWS($1:29)),)=$E$7,OFFSET(TH!K$1,SMALL(Dong5,ROWS($1:29)),),0))</f>
        <v>0</v>
      </c>
      <c r="H43" s="234">
        <f t="shared" ca="1" si="6"/>
        <v>0</v>
      </c>
      <c r="I43" s="234">
        <f t="shared" ca="1" si="7"/>
        <v>4825062</v>
      </c>
    </row>
    <row r="44" spans="1:9" s="18" customFormat="1" ht="18" customHeight="1">
      <c r="A44" s="192">
        <f ca="1">IF(ROWS($1:30)&gt;COUNT(Dong5),"",OFFSET(TH!C$1,SMALL(Dong5,ROWS($1:30)),))</f>
        <v>41251</v>
      </c>
      <c r="B44" s="192" t="str">
        <f ca="1">IF(ROWS($1:30)&gt;COUNT(Dong5),"",OFFSET(TH!D$1,SMALL(Dong5,ROWS($1:30)),))</f>
        <v>N12</v>
      </c>
      <c r="C44" s="192">
        <f ca="1">IF(ROWS($1:30)&gt;COUNT(Dong5),"",OFFSET(TH!E$1,SMALL(Dong5,ROWS($1:30)),))</f>
        <v>41251</v>
      </c>
      <c r="D44" s="232" t="str">
        <f ca="1">IF(ROWS($1:30)&gt;COUNT(Dong5),"",OFFSET(TH!F$1,SMALL(Dong5,ROWS($1:30)),))</f>
        <v xml:space="preserve">VAT Giấy tấm </v>
      </c>
      <c r="E44" s="192" t="str">
        <f ca="1">IF(ROWS($1:30)&gt;COUNT(Dong5),"",IF(OFFSET(TH!L$1,SMALL(Dong5,ROWS($1:30)),)=$E$7,OFFSET(TH!M$1,SMALL(Dong5,ROWS($1:30)),),OFFSET(TH!L$1,SMALL(Dong5,ROWS($1:30)),)))</f>
        <v>331</v>
      </c>
      <c r="F44" s="233">
        <f ca="1">IF(ROWS($1:30)&gt;COUNT(Dong5),0,IF(OFFSET(TH!L$1,SMALL(Dong5,ROWS($1:30)),)=$E$7,OFFSET(TH!K$1,SMALL(Dong5,ROWS($1:30)),),0))</f>
        <v>1029200</v>
      </c>
      <c r="G44" s="231">
        <f ca="1">IF(ROWS($1:30)&gt;COUNT(Dong5),0,IF(OFFSET(TH!M$1,SMALL(Dong5,ROWS($1:30)),)=$E$7,OFFSET(TH!K$1,SMALL(Dong5,ROWS($1:30)),),0))</f>
        <v>0</v>
      </c>
      <c r="H44" s="234">
        <f t="shared" ca="1" si="6"/>
        <v>0</v>
      </c>
      <c r="I44" s="234">
        <f t="shared" ca="1" si="7"/>
        <v>3795862</v>
      </c>
    </row>
    <row r="45" spans="1:9" s="18" customFormat="1" ht="18" customHeight="1">
      <c r="A45" s="192">
        <f ca="1">IF(ROWS($1:31)&gt;COUNT(Dong5),"",OFFSET(TH!C$1,SMALL(Dong5,ROWS($1:31)),))</f>
        <v>41260</v>
      </c>
      <c r="B45" s="192" t="str">
        <f ca="1">IF(ROWS($1:31)&gt;COUNT(Dong5),"",OFFSET(TH!D$1,SMALL(Dong5,ROWS($1:31)),))</f>
        <v>C27</v>
      </c>
      <c r="C45" s="192">
        <f ca="1">IF(ROWS($1:31)&gt;COUNT(Dong5),"",OFFSET(TH!E$1,SMALL(Dong5,ROWS($1:31)),))</f>
        <v>41260</v>
      </c>
      <c r="D45" s="232" t="str">
        <f ca="1">IF(ROWS($1:31)&gt;COUNT(Dong5),"",OFFSET(TH!F$1,SMALL(Dong5,ROWS($1:31)),))</f>
        <v>VAT Thanh toán tiền viễn thông</v>
      </c>
      <c r="E45" s="192" t="str">
        <f ca="1">IF(ROWS($1:31)&gt;COUNT(Dong5),"",IF(OFFSET(TH!L$1,SMALL(Dong5,ROWS($1:31)),)=$E$7,OFFSET(TH!M$1,SMALL(Dong5,ROWS($1:31)),),OFFSET(TH!L$1,SMALL(Dong5,ROWS($1:31)),)))</f>
        <v>1111</v>
      </c>
      <c r="F45" s="233">
        <f ca="1">IF(ROWS($1:31)&gt;COUNT(Dong5),0,IF(OFFSET(TH!L$1,SMALL(Dong5,ROWS($1:31)),)=$E$7,OFFSET(TH!K$1,SMALL(Dong5,ROWS($1:31)),),0))</f>
        <v>7728</v>
      </c>
      <c r="G45" s="231">
        <f ca="1">IF(ROWS($1:31)&gt;COUNT(Dong5),0,IF(OFFSET(TH!M$1,SMALL(Dong5,ROWS($1:31)),)=$E$7,OFFSET(TH!K$1,SMALL(Dong5,ROWS($1:31)),),0))</f>
        <v>0</v>
      </c>
      <c r="H45" s="234">
        <f t="shared" ca="1" si="6"/>
        <v>0</v>
      </c>
      <c r="I45" s="234">
        <f t="shared" ca="1" si="7"/>
        <v>3788134</v>
      </c>
    </row>
    <row r="46" spans="1:9" s="18" customFormat="1" ht="18" customHeight="1">
      <c r="A46" s="192">
        <f ca="1">IF(ROWS($1:32)&gt;COUNT(Dong5),"",OFFSET(TH!C$1,SMALL(Dong5,ROWS($1:32)),))</f>
        <v>41269</v>
      </c>
      <c r="B46" s="192" t="str">
        <f ca="1">IF(ROWS($1:32)&gt;COUNT(Dong5),"",OFFSET(TH!D$1,SMALL(Dong5,ROWS($1:32)),))</f>
        <v>C28</v>
      </c>
      <c r="C46" s="192">
        <f ca="1">IF(ROWS($1:32)&gt;COUNT(Dong5),"",OFFSET(TH!E$1,SMALL(Dong5,ROWS($1:32)),))</f>
        <v>41269</v>
      </c>
      <c r="D46" s="232" t="str">
        <f ca="1">IF(ROWS($1:32)&gt;COUNT(Dong5),"",OFFSET(TH!F$1,SMALL(Dong5,ROWS($1:32)),))</f>
        <v>VAT Chi phí tiếp khách</v>
      </c>
      <c r="E46" s="192" t="str">
        <f ca="1">IF(ROWS($1:32)&gt;COUNT(Dong5),"",IF(OFFSET(TH!L$1,SMALL(Dong5,ROWS($1:32)),)=$E$7,OFFSET(TH!M$1,SMALL(Dong5,ROWS($1:32)),),OFFSET(TH!L$1,SMALL(Dong5,ROWS($1:32)),)))</f>
        <v>1111</v>
      </c>
      <c r="F46" s="233">
        <f ca="1">IF(ROWS($1:32)&gt;COUNT(Dong5),0,IF(OFFSET(TH!L$1,SMALL(Dong5,ROWS($1:32)),)=$E$7,OFFSET(TH!K$1,SMALL(Dong5,ROWS($1:32)),),0))</f>
        <v>318182</v>
      </c>
      <c r="G46" s="231">
        <f ca="1">IF(ROWS($1:32)&gt;COUNT(Dong5),0,IF(OFFSET(TH!M$1,SMALL(Dong5,ROWS($1:32)),)=$E$7,OFFSET(TH!K$1,SMALL(Dong5,ROWS($1:32)),),0))</f>
        <v>0</v>
      </c>
      <c r="H46" s="234">
        <f t="shared" ca="1" si="6"/>
        <v>0</v>
      </c>
      <c r="I46" s="234">
        <f t="shared" ca="1" si="7"/>
        <v>3469952</v>
      </c>
    </row>
    <row r="47" spans="1:9" s="18" customFormat="1" ht="18" customHeight="1">
      <c r="A47" s="192">
        <f ca="1">IF(ROWS($1:33)&gt;COUNT(Dong5),"",OFFSET(TH!C$1,SMALL(Dong5,ROWS($1:33)),))</f>
        <v>41271</v>
      </c>
      <c r="B47" s="192" t="str">
        <f ca="1">IF(ROWS($1:33)&gt;COUNT(Dong5),"",OFFSET(TH!D$1,SMALL(Dong5,ROWS($1:33)),))</f>
        <v>C29</v>
      </c>
      <c r="C47" s="192">
        <f ca="1">IF(ROWS($1:33)&gt;COUNT(Dong5),"",OFFSET(TH!E$1,SMALL(Dong5,ROWS($1:33)),))</f>
        <v>41271</v>
      </c>
      <c r="D47" s="232" t="str">
        <f ca="1">IF(ROWS($1:33)&gt;COUNT(Dong5),"",OFFSET(TH!F$1,SMALL(Dong5,ROWS($1:33)),))</f>
        <v>VAT Chi phí tiếp khách</v>
      </c>
      <c r="E47" s="192" t="str">
        <f ca="1">IF(ROWS($1:33)&gt;COUNT(Dong5),"",IF(OFFSET(TH!L$1,SMALL(Dong5,ROWS($1:33)),)=$E$7,OFFSET(TH!M$1,SMALL(Dong5,ROWS($1:33)),),OFFSET(TH!L$1,SMALL(Dong5,ROWS($1:33)),)))</f>
        <v>1111</v>
      </c>
      <c r="F47" s="233">
        <f ca="1">IF(ROWS($1:33)&gt;COUNT(Dong5),0,IF(OFFSET(TH!L$1,SMALL(Dong5,ROWS($1:33)),)=$E$7,OFFSET(TH!K$1,SMALL(Dong5,ROWS($1:33)),),0))</f>
        <v>336364</v>
      </c>
      <c r="G47" s="231">
        <f ca="1">IF(ROWS($1:33)&gt;COUNT(Dong5),0,IF(OFFSET(TH!M$1,SMALL(Dong5,ROWS($1:33)),)=$E$7,OFFSET(TH!K$1,SMALL(Dong5,ROWS($1:33)),),0))</f>
        <v>0</v>
      </c>
      <c r="H47" s="234">
        <f t="shared" ref="H47:H52" ca="1" si="8">IF(D47&lt;&gt;"",MAX(H46+F47-G47-I46,0),0)</f>
        <v>0</v>
      </c>
      <c r="I47" s="234">
        <f t="shared" ref="I47:I52" ca="1" si="9">IF(D47&lt;&gt;"",MAX(I46+G47-H46-F47,0),0)</f>
        <v>3133588</v>
      </c>
    </row>
    <row r="48" spans="1:9" s="18" customFormat="1" ht="18" customHeight="1">
      <c r="A48" s="192">
        <f ca="1">IF(ROWS($1:34)&gt;COUNT(Dong5),"",OFFSET(TH!C$1,SMALL(Dong5,ROWS($1:34)),))</f>
        <v>41273</v>
      </c>
      <c r="B48" s="192" t="str">
        <f ca="1">IF(ROWS($1:34)&gt;COUNT(Dong5),"",OFFSET(TH!D$1,SMALL(Dong5,ROWS($1:34)),))</f>
        <v>N13</v>
      </c>
      <c r="C48" s="192">
        <f ca="1">IF(ROWS($1:34)&gt;COUNT(Dong5),"",OFFSET(TH!E$1,SMALL(Dong5,ROWS($1:34)),))</f>
        <v>41273</v>
      </c>
      <c r="D48" s="232" t="str">
        <f ca="1">IF(ROWS($1:34)&gt;COUNT(Dong5),"",OFFSET(TH!F$1,SMALL(Dong5,ROWS($1:34)),))</f>
        <v xml:space="preserve">VAT Giấy tấm </v>
      </c>
      <c r="E48" s="192" t="str">
        <f ca="1">IF(ROWS($1:34)&gt;COUNT(Dong5),"",IF(OFFSET(TH!L$1,SMALL(Dong5,ROWS($1:34)),)=$E$7,OFFSET(TH!M$1,SMALL(Dong5,ROWS($1:34)),),OFFSET(TH!L$1,SMALL(Dong5,ROWS($1:34)),)))</f>
        <v>331</v>
      </c>
      <c r="F48" s="233">
        <f ca="1">IF(ROWS($1:34)&gt;COUNT(Dong5),0,IF(OFFSET(TH!L$1,SMALL(Dong5,ROWS($1:34)),)=$E$7,OFFSET(TH!K$1,SMALL(Dong5,ROWS($1:34)),),0))</f>
        <v>1619740</v>
      </c>
      <c r="G48" s="231">
        <f ca="1">IF(ROWS($1:34)&gt;COUNT(Dong5),0,IF(OFFSET(TH!M$1,SMALL(Dong5,ROWS($1:34)),)=$E$7,OFFSET(TH!K$1,SMALL(Dong5,ROWS($1:34)),),0))</f>
        <v>0</v>
      </c>
      <c r="H48" s="234">
        <f t="shared" ca="1" si="8"/>
        <v>0</v>
      </c>
      <c r="I48" s="234">
        <f t="shared" ca="1" si="9"/>
        <v>1513848</v>
      </c>
    </row>
    <row r="49" spans="1:9" s="18" customFormat="1" ht="18" customHeight="1">
      <c r="A49" s="192">
        <f ca="1">IF(ROWS($1:35)&gt;COUNT(Dong5),"",OFFSET(TH!C$1,SMALL(Dong5,ROWS($1:35)),))</f>
        <v>41274</v>
      </c>
      <c r="B49" s="192" t="str">
        <f ca="1">IF(ROWS($1:35)&gt;COUNT(Dong5),"",OFFSET(TH!D$1,SMALL(Dong5,ROWS($1:35)),))</f>
        <v>C31</v>
      </c>
      <c r="C49" s="192">
        <f ca="1">IF(ROWS($1:35)&gt;COUNT(Dong5),"",OFFSET(TH!E$1,SMALL(Dong5,ROWS($1:35)),))</f>
        <v>41274</v>
      </c>
      <c r="D49" s="232" t="str">
        <f ca="1">IF(ROWS($1:35)&gt;COUNT(Dong5),"",OFFSET(TH!F$1,SMALL(Dong5,ROWS($1:35)),))</f>
        <v>VAT Cước vận chuyển</v>
      </c>
      <c r="E49" s="192" t="str">
        <f ca="1">IF(ROWS($1:35)&gt;COUNT(Dong5),"",IF(OFFSET(TH!L$1,SMALL(Dong5,ROWS($1:35)),)=$E$7,OFFSET(TH!M$1,SMALL(Dong5,ROWS($1:35)),),OFFSET(TH!L$1,SMALL(Dong5,ROWS($1:35)),)))</f>
        <v>1111</v>
      </c>
      <c r="F49" s="233">
        <f ca="1">IF(ROWS($1:35)&gt;COUNT(Dong5),0,IF(OFFSET(TH!L$1,SMALL(Dong5,ROWS($1:35)),)=$E$7,OFFSET(TH!K$1,SMALL(Dong5,ROWS($1:35)),),0))</f>
        <v>300000</v>
      </c>
      <c r="G49" s="231">
        <f ca="1">IF(ROWS($1:35)&gt;COUNT(Dong5),0,IF(OFFSET(TH!M$1,SMALL(Dong5,ROWS($1:35)),)=$E$7,OFFSET(TH!K$1,SMALL(Dong5,ROWS($1:35)),),0))</f>
        <v>0</v>
      </c>
      <c r="H49" s="234">
        <f t="shared" ca="1" si="8"/>
        <v>0</v>
      </c>
      <c r="I49" s="234">
        <f t="shared" ca="1" si="9"/>
        <v>1213848</v>
      </c>
    </row>
    <row r="50" spans="1:9" s="18" customFormat="1" ht="18" customHeight="1">
      <c r="A50" s="192">
        <f ca="1">IF(ROWS($1:36)&gt;COUNT(Dong5),"",OFFSET(TH!C$1,SMALL(Dong5,ROWS($1:36)),))</f>
        <v>41274</v>
      </c>
      <c r="B50" s="192" t="str">
        <f ca="1">IF(ROWS($1:36)&gt;COUNT(Dong5),"",OFFSET(TH!D$1,SMALL(Dong5,ROWS($1:36)),))</f>
        <v>CTGS</v>
      </c>
      <c r="C50" s="192">
        <f ca="1">IF(ROWS($1:36)&gt;COUNT(Dong5),"",OFFSET(TH!E$1,SMALL(Dong5,ROWS($1:36)),))</f>
        <v>41274</v>
      </c>
      <c r="D50" s="232" t="str">
        <f ca="1">IF(ROWS($1:36)&gt;COUNT(Dong5),"",OFFSET(TH!F$1,SMALL(Dong5,ROWS($1:36)),))</f>
        <v>Thuế GTGT phải nộp</v>
      </c>
      <c r="E50" s="192" t="str">
        <f ca="1">IF(ROWS($1:36)&gt;COUNT(Dong5),"",IF(OFFSET(TH!L$1,SMALL(Dong5,ROWS($1:36)),)=$E$7,OFFSET(TH!M$1,SMALL(Dong5,ROWS($1:36)),),OFFSET(TH!L$1,SMALL(Dong5,ROWS($1:36)),)))</f>
        <v>3388</v>
      </c>
      <c r="F50" s="233">
        <f ca="1">IF(ROWS($1:36)&gt;COUNT(Dong5),0,IF(OFFSET(TH!L$1,SMALL(Dong5,ROWS($1:36)),)=$E$7,OFFSET(TH!K$1,SMALL(Dong5,ROWS($1:36)),),0))</f>
        <v>959303</v>
      </c>
      <c r="G50" s="231">
        <f ca="1">IF(ROWS($1:36)&gt;COUNT(Dong5),0,IF(OFFSET(TH!M$1,SMALL(Dong5,ROWS($1:36)),)=$E$7,OFFSET(TH!K$1,SMALL(Dong5,ROWS($1:36)),),0))</f>
        <v>0</v>
      </c>
      <c r="H50" s="234">
        <f t="shared" ca="1" si="8"/>
        <v>0</v>
      </c>
      <c r="I50" s="234">
        <f t="shared" ca="1" si="9"/>
        <v>254545</v>
      </c>
    </row>
    <row r="51" spans="1:9" s="18" customFormat="1" ht="18" customHeight="1">
      <c r="A51" s="192">
        <f ca="1">IF(ROWS($1:37)&gt;COUNT(Dong5),"",OFFSET(TH!C$1,SMALL(Dong5,ROWS($1:37)),))</f>
        <v>42368</v>
      </c>
      <c r="B51" s="192" t="str">
        <f ca="1">IF(ROWS($1:37)&gt;COUNT(Dong5),"",OFFSET(TH!D$1,SMALL(Dong5,ROWS($1:37)),))</f>
        <v>C33</v>
      </c>
      <c r="C51" s="192">
        <f ca="1">IF(ROWS($1:37)&gt;COUNT(Dong5),"",OFFSET(TH!E$1,SMALL(Dong5,ROWS($1:37)),))</f>
        <v>42368</v>
      </c>
      <c r="D51" s="232" t="str">
        <f ca="1">IF(ROWS($1:37)&gt;COUNT(Dong5),"",OFFSET(TH!F$1,SMALL(Dong5,ROWS($1:37)),))</f>
        <v>VAT Chi phí tiếp khách</v>
      </c>
      <c r="E51" s="192" t="str">
        <f ca="1">IF(ROWS($1:37)&gt;COUNT(Dong5),"",IF(OFFSET(TH!L$1,SMALL(Dong5,ROWS($1:37)),)=$E$7,OFFSET(TH!M$1,SMALL(Dong5,ROWS($1:37)),),OFFSET(TH!L$1,SMALL(Dong5,ROWS($1:37)),)))</f>
        <v>1111</v>
      </c>
      <c r="F51" s="233">
        <f ca="1">IF(ROWS($1:37)&gt;COUNT(Dong5),0,IF(OFFSET(TH!L$1,SMALL(Dong5,ROWS($1:37)),)=$E$7,OFFSET(TH!K$1,SMALL(Dong5,ROWS($1:37)),),0))</f>
        <v>254545</v>
      </c>
      <c r="G51" s="231">
        <f ca="1">IF(ROWS($1:37)&gt;COUNT(Dong5),0,IF(OFFSET(TH!M$1,SMALL(Dong5,ROWS($1:37)),)=$E$7,OFFSET(TH!K$1,SMALL(Dong5,ROWS($1:37)),),0))</f>
        <v>0</v>
      </c>
      <c r="H51" s="234">
        <f t="shared" ca="1" si="8"/>
        <v>0</v>
      </c>
      <c r="I51" s="234">
        <f t="shared" ca="1" si="9"/>
        <v>0</v>
      </c>
    </row>
    <row r="52" spans="1:9" s="18" customFormat="1" ht="18" customHeight="1">
      <c r="A52" s="192" t="str">
        <f ca="1">IF(ROWS($1:38)&gt;COUNT(Dong5),"",OFFSET(TH!C$1,SMALL(Dong5,ROWS($1:38)),))</f>
        <v/>
      </c>
      <c r="B52" s="192" t="str">
        <f ca="1">IF(ROWS($1:38)&gt;COUNT(Dong5),"",OFFSET(TH!D$1,SMALL(Dong5,ROWS($1:38)),))</f>
        <v/>
      </c>
      <c r="C52" s="192" t="str">
        <f ca="1">IF(ROWS($1:38)&gt;COUNT(Dong5),"",OFFSET(TH!E$1,SMALL(Dong5,ROWS($1:38)),))</f>
        <v/>
      </c>
      <c r="D52" s="232" t="str">
        <f ca="1">IF(ROWS($1:38)&gt;COUNT(Dong5),"",OFFSET(TH!F$1,SMALL(Dong5,ROWS($1:38)),))</f>
        <v/>
      </c>
      <c r="E52" s="192" t="str">
        <f ca="1">IF(ROWS($1:38)&gt;COUNT(Dong5),"",IF(OFFSET(TH!L$1,SMALL(Dong5,ROWS($1:38)),)=$E$7,OFFSET(TH!M$1,SMALL(Dong5,ROWS($1:38)),),OFFSET(TH!L$1,SMALL(Dong5,ROWS($1:38)),)))</f>
        <v/>
      </c>
      <c r="F52" s="233">
        <f ca="1">IF(ROWS($1:38)&gt;COUNT(Dong5),0,IF(OFFSET(TH!L$1,SMALL(Dong5,ROWS($1:38)),)=$E$7,OFFSET(TH!K$1,SMALL(Dong5,ROWS($1:38)),),0))</f>
        <v>0</v>
      </c>
      <c r="G52" s="231">
        <f ca="1">IF(ROWS($1:38)&gt;COUNT(Dong5),0,IF(OFFSET(TH!M$1,SMALL(Dong5,ROWS($1:38)),)=$E$7,OFFSET(TH!K$1,SMALL(Dong5,ROWS($1:38)),),0))</f>
        <v>0</v>
      </c>
      <c r="H52" s="234">
        <f t="shared" ca="1" si="8"/>
        <v>0</v>
      </c>
      <c r="I52" s="234">
        <f t="shared" ca="1" si="9"/>
        <v>0</v>
      </c>
    </row>
    <row r="53" spans="1:9" s="18" customFormat="1" ht="18" customHeight="1">
      <c r="A53" s="192"/>
      <c r="B53" s="192"/>
      <c r="C53" s="192"/>
      <c r="D53" s="232"/>
      <c r="E53" s="192"/>
      <c r="F53" s="233"/>
      <c r="G53" s="231"/>
      <c r="H53" s="234"/>
      <c r="I53" s="234"/>
    </row>
    <row r="54" spans="1:9" s="18" customFormat="1" ht="18" customHeight="1">
      <c r="A54" s="192"/>
      <c r="B54" s="193"/>
      <c r="C54" s="192"/>
      <c r="D54" s="226" t="s">
        <v>133</v>
      </c>
      <c r="E54" s="193" t="s">
        <v>19</v>
      </c>
      <c r="F54" s="235">
        <f ca="1">SUM(F15:F53)</f>
        <v>24549095</v>
      </c>
      <c r="G54" s="235">
        <f ca="1">SUM(G15:G53)</f>
        <v>24549095</v>
      </c>
      <c r="H54" s="235" t="s">
        <v>19</v>
      </c>
      <c r="I54" s="235" t="s">
        <v>19</v>
      </c>
    </row>
    <row r="55" spans="1:9" s="18" customFormat="1" ht="18" customHeight="1">
      <c r="A55" s="236"/>
      <c r="B55" s="228"/>
      <c r="C55" s="236"/>
      <c r="D55" s="227" t="s">
        <v>10</v>
      </c>
      <c r="E55" s="228" t="s">
        <v>19</v>
      </c>
      <c r="F55" s="237" t="s">
        <v>19</v>
      </c>
      <c r="G55" s="237" t="s">
        <v>19</v>
      </c>
      <c r="H55" s="238">
        <f ca="1">MAX(H14+F54-G54-I14,0)</f>
        <v>0</v>
      </c>
      <c r="I55" s="238">
        <f ca="1">MAX(I14+G54-F54-H14,0)</f>
        <v>0</v>
      </c>
    </row>
    <row r="56" spans="1:9" s="18" customFormat="1" ht="9.75" customHeight="1">
      <c r="A56" s="201"/>
      <c r="B56" s="201"/>
      <c r="C56" s="201"/>
      <c r="E56" s="201"/>
    </row>
    <row r="57" spans="1:9" s="18" customFormat="1" ht="12.75">
      <c r="A57" s="201"/>
      <c r="B57" s="201"/>
      <c r="C57" s="239" t="s">
        <v>155</v>
      </c>
      <c r="E57" s="201"/>
    </row>
    <row r="58" spans="1:9" s="18" customFormat="1" ht="12.75">
      <c r="A58" s="201"/>
      <c r="B58" s="201"/>
      <c r="C58" s="175" t="str">
        <f ca="1">"- Ngày mở sổ: "&amp;DAY($A$15)&amp;"/"&amp;MONTH($A$15)&amp;"/ " &amp;YEAR($A$15)</f>
        <v>- Ngày mở sổ: 31/12/ 2012</v>
      </c>
      <c r="E58" s="201"/>
    </row>
    <row r="59" spans="1:9" s="18" customFormat="1" ht="13.5" customHeight="1">
      <c r="A59" s="201"/>
      <c r="B59" s="201"/>
      <c r="C59" s="201"/>
      <c r="E59" s="781" t="str">
        <f ca="1">"Ngày 31 tháng  12  năm  "&amp;YEAR($A$15)</f>
        <v>Ngày 31 tháng  12  năm  2012</v>
      </c>
      <c r="F59" s="781"/>
      <c r="G59" s="781"/>
      <c r="H59" s="781"/>
      <c r="I59" s="781"/>
    </row>
    <row r="60" spans="1:9" s="18" customFormat="1" ht="12.75">
      <c r="A60" s="781" t="s">
        <v>11</v>
      </c>
      <c r="B60" s="781"/>
      <c r="C60" s="781"/>
      <c r="D60" s="781"/>
      <c r="E60" s="781" t="s">
        <v>12</v>
      </c>
      <c r="F60" s="781"/>
      <c r="G60" s="781"/>
      <c r="H60" s="781"/>
      <c r="I60" s="781"/>
    </row>
    <row r="61" spans="1:9" s="18" customFormat="1" ht="12.75">
      <c r="A61" s="781" t="s">
        <v>13</v>
      </c>
      <c r="B61" s="781"/>
      <c r="C61" s="781"/>
      <c r="D61" s="781"/>
      <c r="E61" s="781" t="s">
        <v>13</v>
      </c>
      <c r="F61" s="781"/>
      <c r="G61" s="781"/>
      <c r="H61" s="781"/>
      <c r="I61" s="781"/>
    </row>
    <row r="62" spans="1:9" s="18" customFormat="1" ht="12.75">
      <c r="A62" s="201"/>
      <c r="B62" s="201"/>
      <c r="C62" s="201"/>
      <c r="E62" s="201"/>
    </row>
    <row r="63" spans="1:9">
      <c r="D63" s="181"/>
      <c r="F63" s="182"/>
    </row>
    <row r="68" spans="1:4">
      <c r="A68" s="782"/>
      <c r="B68" s="782"/>
      <c r="C68" s="782"/>
      <c r="D68" s="782"/>
    </row>
  </sheetData>
  <mergeCells count="18">
    <mergeCell ref="E59:I59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60:D60"/>
    <mergeCell ref="E60:I60"/>
    <mergeCell ref="A61:D61"/>
    <mergeCell ref="E61:I61"/>
    <mergeCell ref="A68:D68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ageMargins left="0.1" right="0.8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98"/>
  <sheetViews>
    <sheetView topLeftCell="A9" zoomScale="90" workbookViewId="0">
      <pane ySplit="5" topLeftCell="A65" activePane="bottomLeft" state="frozen"/>
      <selection activeCell="A9" sqref="A9"/>
      <selection pane="bottomLeft" activeCell="G79" sqref="G79"/>
    </sheetView>
  </sheetViews>
  <sheetFormatPr defaultRowHeight="15"/>
  <cols>
    <col min="1" max="2" width="8.7109375" style="106" customWidth="1"/>
    <col min="3" max="4" width="6.5703125" style="106" customWidth="1"/>
    <col min="5" max="5" width="34.5703125" style="106" customWidth="1"/>
    <col min="6" max="6" width="6.28515625" style="106" customWidth="1"/>
    <col min="7" max="9" width="14.42578125" style="106" customWidth="1"/>
    <col min="10" max="10" width="6.28515625" style="106" customWidth="1"/>
    <col min="11" max="11" width="2.140625" style="106" customWidth="1"/>
    <col min="12" max="12" width="10" style="106" customWidth="1"/>
    <col min="13" max="13" width="3.28515625" style="106" customWidth="1"/>
    <col min="14" max="15" width="6.140625" style="106" customWidth="1"/>
    <col min="16" max="16384" width="9.140625" style="106"/>
  </cols>
  <sheetData>
    <row r="1" spans="1:15" s="3" customFormat="1" ht="16.5" customHeight="1">
      <c r="A1" s="132" t="str">
        <f>TH!A1</f>
        <v>Đơn vị: CÔNG TY TNHH MỘT THÀNH VIÊN KHỞI NGUYÊN AN</v>
      </c>
      <c r="B1" s="2"/>
      <c r="C1" s="2"/>
      <c r="D1" s="2"/>
      <c r="E1" s="2"/>
      <c r="G1" s="785" t="s">
        <v>119</v>
      </c>
      <c r="H1" s="785"/>
      <c r="I1" s="785"/>
      <c r="J1" s="785"/>
    </row>
    <row r="2" spans="1:15" s="3" customFormat="1" ht="16.5" customHeight="1">
      <c r="A2" s="92" t="str">
        <f>TH!A2</f>
        <v>Địa chỉ: Thửa đất số 144, tờ bản đồ số 12TĐH.1, tổ 1, khu phố Đông Tác, Phường Tân Đông Hiệp, Thị Xã Dĩ An, Tỉnh Bình Dương, Việt Nam</v>
      </c>
      <c r="B2" s="16"/>
      <c r="C2" s="16"/>
      <c r="D2" s="16"/>
      <c r="E2" s="16"/>
      <c r="G2" s="786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786"/>
      <c r="I2" s="786"/>
      <c r="J2" s="786"/>
    </row>
    <row r="3" spans="1:15" s="3" customFormat="1" ht="16.5" customHeight="1">
      <c r="A3" s="4"/>
      <c r="B3" s="16"/>
      <c r="C3" s="104"/>
      <c r="D3" s="104"/>
      <c r="E3" s="16"/>
      <c r="G3" s="786"/>
      <c r="H3" s="786"/>
      <c r="I3" s="786"/>
      <c r="J3" s="786"/>
    </row>
    <row r="4" spans="1:15" s="3" customFormat="1" ht="6.75" customHeight="1">
      <c r="A4" s="16"/>
      <c r="B4" s="16"/>
      <c r="C4" s="16"/>
      <c r="D4" s="16"/>
      <c r="E4" s="16"/>
      <c r="G4" s="105"/>
      <c r="H4" s="105"/>
      <c r="I4" s="105"/>
      <c r="J4" s="105"/>
    </row>
    <row r="5" spans="1:15" ht="24.75" customHeight="1">
      <c r="A5" s="795" t="s">
        <v>120</v>
      </c>
      <c r="B5" s="795"/>
      <c r="C5" s="795"/>
      <c r="D5" s="795"/>
      <c r="E5" s="795"/>
      <c r="F5" s="795"/>
      <c r="G5" s="795"/>
      <c r="H5" s="795"/>
      <c r="I5" s="795"/>
      <c r="J5" s="795"/>
    </row>
    <row r="6" spans="1:15" ht="14.25" customHeight="1">
      <c r="A6" s="797" t="str">
        <f ca="1">$L$11&amp;" / "&amp;YEAR($A$14)</f>
        <v>Quý IV / 2012</v>
      </c>
      <c r="B6" s="797"/>
      <c r="C6" s="797"/>
      <c r="D6" s="797"/>
      <c r="E6" s="797"/>
      <c r="F6" s="797"/>
      <c r="G6" s="797"/>
      <c r="H6" s="797"/>
      <c r="I6" s="797"/>
      <c r="J6" s="797"/>
    </row>
    <row r="7" spans="1:15">
      <c r="A7" s="796" t="s">
        <v>121</v>
      </c>
      <c r="B7" s="796"/>
      <c r="C7" s="796"/>
      <c r="D7" s="796"/>
      <c r="E7" s="796"/>
      <c r="F7" s="796"/>
      <c r="G7" s="796"/>
      <c r="H7" s="796"/>
      <c r="I7" s="796"/>
      <c r="J7" s="796"/>
    </row>
    <row r="8" spans="1:15">
      <c r="A8" s="796" t="s">
        <v>122</v>
      </c>
      <c r="B8" s="796"/>
      <c r="C8" s="796"/>
      <c r="D8" s="796"/>
      <c r="E8" s="796"/>
      <c r="F8" s="796"/>
      <c r="G8" s="796"/>
      <c r="H8" s="796"/>
      <c r="I8" s="796"/>
      <c r="J8" s="796"/>
    </row>
    <row r="9" spans="1:15">
      <c r="A9" s="107"/>
      <c r="I9" s="107" t="s">
        <v>123</v>
      </c>
    </row>
    <row r="10" spans="1:15" ht="33" customHeight="1" thickBot="1">
      <c r="A10" s="799" t="s">
        <v>20</v>
      </c>
      <c r="B10" s="799" t="s">
        <v>124</v>
      </c>
      <c r="C10" s="798" t="s">
        <v>125</v>
      </c>
      <c r="D10" s="798"/>
      <c r="E10" s="798" t="s">
        <v>0</v>
      </c>
      <c r="F10" s="799" t="s">
        <v>14</v>
      </c>
      <c r="G10" s="798" t="s">
        <v>21</v>
      </c>
      <c r="H10" s="798"/>
      <c r="I10" s="798" t="s">
        <v>126</v>
      </c>
      <c r="J10" s="798" t="s">
        <v>127</v>
      </c>
      <c r="L10" s="513"/>
      <c r="N10" s="773" t="s">
        <v>269</v>
      </c>
      <c r="O10" s="773"/>
    </row>
    <row r="11" spans="1:15" ht="24" customHeight="1" thickBot="1">
      <c r="A11" s="800"/>
      <c r="B11" s="800"/>
      <c r="C11" s="108" t="s">
        <v>128</v>
      </c>
      <c r="D11" s="108" t="s">
        <v>129</v>
      </c>
      <c r="E11" s="798"/>
      <c r="F11" s="800"/>
      <c r="G11" s="108" t="s">
        <v>22</v>
      </c>
      <c r="H11" s="108" t="s">
        <v>23</v>
      </c>
      <c r="I11" s="798"/>
      <c r="J11" s="798"/>
      <c r="L11" s="173" t="s">
        <v>336</v>
      </c>
      <c r="N11" s="532">
        <f>IF(L11="Quý I",1,IF(L11="Quý II",4,IF(L11="Quý III",7,IF(L11="Quý IV",10,""))))</f>
        <v>10</v>
      </c>
      <c r="O11" s="532">
        <f>IF(L11="Quý I",3,IF(L11="Quý II",6,IF(L11="Quý III",9,IF(L11="Quý IV",12,""))))</f>
        <v>12</v>
      </c>
    </row>
    <row r="12" spans="1:15" s="109" customFormat="1" ht="11.25" customHeight="1">
      <c r="A12" s="110" t="s">
        <v>2</v>
      </c>
      <c r="B12" s="110" t="s">
        <v>3</v>
      </c>
      <c r="C12" s="110" t="s">
        <v>4</v>
      </c>
      <c r="D12" s="110" t="s">
        <v>5</v>
      </c>
      <c r="E12" s="110" t="s">
        <v>6</v>
      </c>
      <c r="F12" s="110" t="s">
        <v>130</v>
      </c>
      <c r="G12" s="110">
        <v>1</v>
      </c>
      <c r="H12" s="110">
        <v>2</v>
      </c>
      <c r="I12" s="110">
        <v>3</v>
      </c>
      <c r="J12" s="110" t="s">
        <v>131</v>
      </c>
      <c r="N12" s="533"/>
      <c r="O12" s="533"/>
    </row>
    <row r="13" spans="1:15" s="111" customFormat="1" ht="21.75" customHeight="1">
      <c r="A13" s="112"/>
      <c r="B13" s="112"/>
      <c r="C13" s="112"/>
      <c r="D13" s="112"/>
      <c r="E13" s="112" t="s">
        <v>132</v>
      </c>
      <c r="F13" s="113"/>
      <c r="G13" s="114"/>
      <c r="H13" s="112"/>
      <c r="I13" s="134">
        <f>IF($L$11="All",CDPS!$C$10,CDPS!$C$10+SUMIF(_N111,"x",TH)-SUMIF(_C111,"x",TH))</f>
        <v>2445014481</v>
      </c>
      <c r="J13" s="112"/>
      <c r="N13" s="534"/>
      <c r="O13" s="534"/>
    </row>
    <row r="14" spans="1:15" ht="21.75" customHeight="1">
      <c r="A14" s="115">
        <f ca="1">IF(ROWS($1:1)&gt;COUNT(Dong1),"",OFFSET(TH!C$1,SMALL(Dong1,ROWS($1:1)),))</f>
        <v>41187</v>
      </c>
      <c r="B14" s="115">
        <f ca="1">IF(ROWS($1:1)&gt;COUNT(Dong1),"",OFFSET(TH!E$1,SMALL(Dong1,ROWS($1:1)),))</f>
        <v>41187</v>
      </c>
      <c r="C14" s="116" t="str">
        <f ca="1">IF(ROWS($1:1)&gt;COUNT(Dong1),"",IF(OFFSET(TH!L$1,SMALL(Dong1,ROWS($1:1)),)="1111",OFFSET(TH!D$1,SMALL(Dong1,ROWS($1:1)),),""))</f>
        <v>T01</v>
      </c>
      <c r="D14" s="117" t="str">
        <f ca="1">IF(ROWS($1:1)&gt;COUNT(Dong1),"",IF(OFFSET(TH!M$1,SMALL(Dong1,ROWS($1:1)),)="1111",OFFSET(TH!D$1,SMALL(Dong1,ROWS($1:1)),),""))</f>
        <v/>
      </c>
      <c r="E14" s="216" t="str">
        <f ca="1">IF(ROWS($1:1)&gt;COUNT(Dong1),"",OFFSET(TH!F$1,SMALL(Dong1,ROWS($1:1)),))</f>
        <v>Rút sec nhập quỹ tiền mặt</v>
      </c>
      <c r="F14" s="119" t="str">
        <f ca="1">IF(ROWS($1:1)&gt;COUNT(Dong1),"",IF(OFFSET(TH!M$1,SMALL(Dong1,ROWS($1:1)),)="1111",OFFSET(TH!L$1,SMALL(Dong1,ROWS($1:1)),),OFFSET(TH!M$1,SMALL(Dong1,ROWS($1:1)),)))</f>
        <v>1121</v>
      </c>
      <c r="G14" s="120">
        <f ca="1">IF(ROWS($1:1)&gt;COUNT(Dong1),"",IF(OFFSET(TH!L$1,SMALL(Dong1,ROWS($1:1)),)="1111",OFFSET(TH!K$1,SMALL(Dong1,ROWS($1:1)),),0))</f>
        <v>28000000</v>
      </c>
      <c r="H14" s="118">
        <f ca="1">IF(ROWS($1:1)&gt;COUNT(Dong1),"",IF(OFFSET(TH!M$1,SMALL(Dong1,ROWS($1:1)),)="1111",OFFSET(TH!K$1,SMALL(Dong1,ROWS($1:1)),),0))</f>
        <v>0</v>
      </c>
      <c r="I14" s="116">
        <f ca="1">IF(E14&lt;&gt;"",I13+G14-H14,0)</f>
        <v>2473014481</v>
      </c>
      <c r="J14" s="121"/>
      <c r="N14" s="535"/>
      <c r="O14" s="535"/>
    </row>
    <row r="15" spans="1:15" ht="21.75" customHeight="1">
      <c r="A15" s="115">
        <f ca="1">IF(ROWS($1:2)&gt;COUNT(Dong1),"",OFFSET(TH!C$1,SMALL(Dong1,ROWS($1:2)),))</f>
        <v>41195</v>
      </c>
      <c r="B15" s="115">
        <f ca="1">IF(ROWS($1:2)&gt;COUNT(Dong1),"",OFFSET(TH!E$1,SMALL(Dong1,ROWS($1:2)),))</f>
        <v>41195</v>
      </c>
      <c r="C15" s="116" t="str">
        <f ca="1">IF(ROWS($1:2)&gt;COUNT(Dong1),"",IF(OFFSET(TH!L$1,SMALL(Dong1,ROWS($1:2)),)="1111",OFFSET(TH!D$1,SMALL(Dong1,ROWS($1:2)),),""))</f>
        <v/>
      </c>
      <c r="D15" s="117" t="str">
        <f ca="1">IF(ROWS($1:2)&gt;COUNT(Dong1),"",IF(OFFSET(TH!M$1,SMALL(Dong1,ROWS($1:2)),)="1111",OFFSET(TH!D$1,SMALL(Dong1,ROWS($1:2)),),""))</f>
        <v>C01</v>
      </c>
      <c r="E15" s="216" t="str">
        <f ca="1">IF(ROWS($1:2)&gt;COUNT(Dong1),"",OFFSET(TH!F$1,SMALL(Dong1,ROWS($1:2)),))</f>
        <v>Thanh toán tiền hàng</v>
      </c>
      <c r="F15" s="119" t="str">
        <f ca="1">IF(ROWS($1:2)&gt;COUNT(Dong1),"",IF(OFFSET(TH!M$1,SMALL(Dong1,ROWS($1:2)),)="1111",OFFSET(TH!L$1,SMALL(Dong1,ROWS($1:2)),),OFFSET(TH!M$1,SMALL(Dong1,ROWS($1:2)),)))</f>
        <v>331</v>
      </c>
      <c r="G15" s="120">
        <f ca="1">IF(ROWS($1:2)&gt;COUNT(Dong1),"",IF(OFFSET(TH!L$1,SMALL(Dong1,ROWS($1:2)),)="1111",OFFSET(TH!K$1,SMALL(Dong1,ROWS($1:2)),),0))</f>
        <v>0</v>
      </c>
      <c r="H15" s="118">
        <f ca="1">IF(ROWS($1:2)&gt;COUNT(Dong1),"",IF(OFFSET(TH!M$1,SMALL(Dong1,ROWS($1:2)),)="1111",OFFSET(TH!K$1,SMALL(Dong1,ROWS($1:2)),),0))</f>
        <v>7012500</v>
      </c>
      <c r="I15" s="116">
        <f t="shared" ref="I15:I49" ca="1" si="0">IF(E15&lt;&gt;"",I14+G15-H15,0)</f>
        <v>2466001981</v>
      </c>
      <c r="J15" s="121"/>
      <c r="N15" s="535"/>
      <c r="O15" s="535"/>
    </row>
    <row r="16" spans="1:15" ht="21.75" customHeight="1">
      <c r="A16" s="115">
        <f ca="1">IF(ROWS($1:3)&gt;COUNT(Dong1),"",OFFSET(TH!C$1,SMALL(Dong1,ROWS($1:3)),))</f>
        <v>41199</v>
      </c>
      <c r="B16" s="115">
        <f ca="1">IF(ROWS($1:3)&gt;COUNT(Dong1),"",OFFSET(TH!E$1,SMALL(Dong1,ROWS($1:3)),))</f>
        <v>41199</v>
      </c>
      <c r="C16" s="116" t="str">
        <f ca="1">IF(ROWS($1:3)&gt;COUNT(Dong1),"",IF(OFFSET(TH!L$1,SMALL(Dong1,ROWS($1:3)),)="1111",OFFSET(TH!D$1,SMALL(Dong1,ROWS($1:3)),),""))</f>
        <v/>
      </c>
      <c r="D16" s="117" t="str">
        <f ca="1">IF(ROWS($1:3)&gt;COUNT(Dong1),"",IF(OFFSET(TH!M$1,SMALL(Dong1,ROWS($1:3)),)="1111",OFFSET(TH!D$1,SMALL(Dong1,ROWS($1:3)),),""))</f>
        <v>C02</v>
      </c>
      <c r="E16" s="216" t="str">
        <f ca="1">IF(ROWS($1:3)&gt;COUNT(Dong1),"",OFFSET(TH!F$1,SMALL(Dong1,ROWS($1:3)),))</f>
        <v>Thuế GTGT hàng sản xuất</v>
      </c>
      <c r="F16" s="119" t="str">
        <f ca="1">IF(ROWS($1:3)&gt;COUNT(Dong1),"",IF(OFFSET(TH!M$1,SMALL(Dong1,ROWS($1:3)),)="1111",OFFSET(TH!L$1,SMALL(Dong1,ROWS($1:3)),),OFFSET(TH!M$1,SMALL(Dong1,ROWS($1:3)),)))</f>
        <v>3388</v>
      </c>
      <c r="G16" s="120">
        <f ca="1">IF(ROWS($1:3)&gt;COUNT(Dong1),"",IF(OFFSET(TH!L$1,SMALL(Dong1,ROWS($1:3)),)="1111",OFFSET(TH!K$1,SMALL(Dong1,ROWS($1:3)),),0))</f>
        <v>0</v>
      </c>
      <c r="H16" s="118">
        <f ca="1">IF(ROWS($1:3)&gt;COUNT(Dong1),"",IF(OFFSET(TH!M$1,SMALL(Dong1,ROWS($1:3)),)="1111",OFFSET(TH!K$1,SMALL(Dong1,ROWS($1:3)),),0))</f>
        <v>366032</v>
      </c>
      <c r="I16" s="116">
        <f t="shared" ca="1" si="0"/>
        <v>2465635949</v>
      </c>
      <c r="J16" s="121"/>
      <c r="N16" s="535"/>
      <c r="O16" s="535"/>
    </row>
    <row r="17" spans="1:15" ht="21.75" customHeight="1">
      <c r="A17" s="115">
        <f ca="1">IF(ROWS($1:4)&gt;COUNT(Dong1),"",OFFSET(TH!C$1,SMALL(Dong1,ROWS($1:4)),))</f>
        <v>41199</v>
      </c>
      <c r="B17" s="115">
        <f ca="1">IF(ROWS($1:4)&gt;COUNT(Dong1),"",OFFSET(TH!E$1,SMALL(Dong1,ROWS($1:4)),))</f>
        <v>41199</v>
      </c>
      <c r="C17" s="116" t="str">
        <f ca="1">IF(ROWS($1:4)&gt;COUNT(Dong1),"",IF(OFFSET(TH!L$1,SMALL(Dong1,ROWS($1:4)),)="1111",OFFSET(TH!D$1,SMALL(Dong1,ROWS($1:4)),),""))</f>
        <v/>
      </c>
      <c r="D17" s="117" t="str">
        <f ca="1">IF(ROWS($1:4)&gt;COUNT(Dong1),"",IF(OFFSET(TH!M$1,SMALL(Dong1,ROWS($1:4)),)="1111",OFFSET(TH!D$1,SMALL(Dong1,ROWS($1:4)),),""))</f>
        <v>C02</v>
      </c>
      <c r="E17" s="216" t="str">
        <f ca="1">IF(ROWS($1:4)&gt;COUNT(Dong1),"",OFFSET(TH!F$1,SMALL(Dong1,ROWS($1:4)),))</f>
        <v>Thuế môn bài</v>
      </c>
      <c r="F17" s="119" t="str">
        <f ca="1">IF(ROWS($1:4)&gt;COUNT(Dong1),"",IF(OFFSET(TH!M$1,SMALL(Dong1,ROWS($1:4)),)="1111",OFFSET(TH!L$1,SMALL(Dong1,ROWS($1:4)),),OFFSET(TH!M$1,SMALL(Dong1,ROWS($1:4)),)))</f>
        <v>33382</v>
      </c>
      <c r="G17" s="120">
        <f ca="1">IF(ROWS($1:4)&gt;COUNT(Dong1),"",IF(OFFSET(TH!L$1,SMALL(Dong1,ROWS($1:4)),)="1111",OFFSET(TH!K$1,SMALL(Dong1,ROWS($1:4)),),0))</f>
        <v>0</v>
      </c>
      <c r="H17" s="118">
        <f ca="1">IF(ROWS($1:4)&gt;COUNT(Dong1),"",IF(OFFSET(TH!M$1,SMALL(Dong1,ROWS($1:4)),)="1111",OFFSET(TH!K$1,SMALL(Dong1,ROWS($1:4)),),0))</f>
        <v>750000</v>
      </c>
      <c r="I17" s="116">
        <f t="shared" ca="1" si="0"/>
        <v>2464885949</v>
      </c>
      <c r="J17" s="121"/>
      <c r="N17" s="535"/>
      <c r="O17" s="535"/>
    </row>
    <row r="18" spans="1:15" ht="21.75" customHeight="1">
      <c r="A18" s="115">
        <f ca="1">IF(ROWS($1:5)&gt;COUNT(Dong1),"",OFFSET(TH!C$1,SMALL(Dong1,ROWS($1:5)),))</f>
        <v>41201</v>
      </c>
      <c r="B18" s="115">
        <f ca="1">IF(ROWS($1:5)&gt;COUNT(Dong1),"",OFFSET(TH!E$1,SMALL(Dong1,ROWS($1:5)),))</f>
        <v>41201</v>
      </c>
      <c r="C18" s="116" t="str">
        <f ca="1">IF(ROWS($1:5)&gt;COUNT(Dong1),"",IF(OFFSET(TH!L$1,SMALL(Dong1,ROWS($1:5)),)="1111",OFFSET(TH!D$1,SMALL(Dong1,ROWS($1:5)),),""))</f>
        <v/>
      </c>
      <c r="D18" s="117" t="str">
        <f ca="1">IF(ROWS($1:5)&gt;COUNT(Dong1),"",IF(OFFSET(TH!M$1,SMALL(Dong1,ROWS($1:5)),)="1111",OFFSET(TH!D$1,SMALL(Dong1,ROWS($1:5)),),""))</f>
        <v>C03</v>
      </c>
      <c r="E18" s="216" t="str">
        <f ca="1">IF(ROWS($1:5)&gt;COUNT(Dong1),"",OFFSET(TH!F$1,SMALL(Dong1,ROWS($1:5)),))</f>
        <v>Phần mềm diệt virut</v>
      </c>
      <c r="F18" s="119" t="str">
        <f ca="1">IF(ROWS($1:5)&gt;COUNT(Dong1),"",IF(OFFSET(TH!M$1,SMALL(Dong1,ROWS($1:5)),)="1111",OFFSET(TH!L$1,SMALL(Dong1,ROWS($1:5)),),OFFSET(TH!M$1,SMALL(Dong1,ROWS($1:5)),)))</f>
        <v>642</v>
      </c>
      <c r="G18" s="120">
        <f ca="1">IF(ROWS($1:5)&gt;COUNT(Dong1),"",IF(OFFSET(TH!L$1,SMALL(Dong1,ROWS($1:5)),)="1111",OFFSET(TH!K$1,SMALL(Dong1,ROWS($1:5)),),0))</f>
        <v>0</v>
      </c>
      <c r="H18" s="118">
        <f ca="1">IF(ROWS($1:5)&gt;COUNT(Dong1),"",IF(OFFSET(TH!M$1,SMALL(Dong1,ROWS($1:5)),)="1111",OFFSET(TH!K$1,SMALL(Dong1,ROWS($1:5)),),0))</f>
        <v>272000</v>
      </c>
      <c r="I18" s="116">
        <f t="shared" ca="1" si="0"/>
        <v>2464613949</v>
      </c>
      <c r="J18" s="121"/>
      <c r="N18" s="535"/>
      <c r="O18" s="535"/>
    </row>
    <row r="19" spans="1:15" ht="21.75" customHeight="1">
      <c r="A19" s="115">
        <f ca="1">IF(ROWS($1:6)&gt;COUNT(Dong1),"",OFFSET(TH!C$1,SMALL(Dong1,ROWS($1:6)),))</f>
        <v>41201</v>
      </c>
      <c r="B19" s="115">
        <f ca="1">IF(ROWS($1:6)&gt;COUNT(Dong1),"",OFFSET(TH!E$1,SMALL(Dong1,ROWS($1:6)),))</f>
        <v>41201</v>
      </c>
      <c r="C19" s="116" t="str">
        <f ca="1">IF(ROWS($1:6)&gt;COUNT(Dong1),"",IF(OFFSET(TH!L$1,SMALL(Dong1,ROWS($1:6)),)="1111",OFFSET(TH!D$1,SMALL(Dong1,ROWS($1:6)),),""))</f>
        <v/>
      </c>
      <c r="D19" s="117" t="str">
        <f ca="1">IF(ROWS($1:6)&gt;COUNT(Dong1),"",IF(OFFSET(TH!M$1,SMALL(Dong1,ROWS($1:6)),)="1111",OFFSET(TH!D$1,SMALL(Dong1,ROWS($1:6)),),""))</f>
        <v>C04</v>
      </c>
      <c r="E19" s="216" t="str">
        <f ca="1">IF(ROWS($1:6)&gt;COUNT(Dong1),"",OFFSET(TH!F$1,SMALL(Dong1,ROWS($1:6)),))</f>
        <v>Thanh toán tiền hàng</v>
      </c>
      <c r="F19" s="119" t="str">
        <f ca="1">IF(ROWS($1:6)&gt;COUNT(Dong1),"",IF(OFFSET(TH!M$1,SMALL(Dong1,ROWS($1:6)),)="1111",OFFSET(TH!L$1,SMALL(Dong1,ROWS($1:6)),),OFFSET(TH!M$1,SMALL(Dong1,ROWS($1:6)),)))</f>
        <v>331</v>
      </c>
      <c r="G19" s="120">
        <f ca="1">IF(ROWS($1:6)&gt;COUNT(Dong1),"",IF(OFFSET(TH!L$1,SMALL(Dong1,ROWS($1:6)),)="1111",OFFSET(TH!K$1,SMALL(Dong1,ROWS($1:6)),),0))</f>
        <v>0</v>
      </c>
      <c r="H19" s="118">
        <f ca="1">IF(ROWS($1:6)&gt;COUNT(Dong1),"",IF(OFFSET(TH!M$1,SMALL(Dong1,ROWS($1:6)),)="1111",OFFSET(TH!K$1,SMALL(Dong1,ROWS($1:6)),),0))</f>
        <v>11097900</v>
      </c>
      <c r="I19" s="116">
        <f t="shared" ca="1" si="0"/>
        <v>2453516049</v>
      </c>
      <c r="J19" s="121"/>
      <c r="N19" s="535"/>
      <c r="O19" s="535"/>
    </row>
    <row r="20" spans="1:15" ht="21.75" customHeight="1">
      <c r="A20" s="115">
        <f ca="1">IF(ROWS($1:7)&gt;COUNT(Dong1),"",OFFSET(TH!C$1,SMALL(Dong1,ROWS($1:7)),))</f>
        <v>41202</v>
      </c>
      <c r="B20" s="115">
        <f ca="1">IF(ROWS($1:7)&gt;COUNT(Dong1),"",OFFSET(TH!E$1,SMALL(Dong1,ROWS($1:7)),))</f>
        <v>41202</v>
      </c>
      <c r="C20" s="116" t="str">
        <f ca="1">IF(ROWS($1:7)&gt;COUNT(Dong1),"",IF(OFFSET(TH!L$1,SMALL(Dong1,ROWS($1:7)),)="1111",OFFSET(TH!D$1,SMALL(Dong1,ROWS($1:7)),),""))</f>
        <v/>
      </c>
      <c r="D20" s="117" t="str">
        <f ca="1">IF(ROWS($1:7)&gt;COUNT(Dong1),"",IF(OFFSET(TH!M$1,SMALL(Dong1,ROWS($1:7)),)="1111",OFFSET(TH!D$1,SMALL(Dong1,ROWS($1:7)),),""))</f>
        <v>C05</v>
      </c>
      <c r="E20" s="216" t="str">
        <f ca="1">IF(ROWS($1:7)&gt;COUNT(Dong1),"",OFFSET(TH!F$1,SMALL(Dong1,ROWS($1:7)),))</f>
        <v>Thanh toán tiền viễn thông</v>
      </c>
      <c r="F20" s="119" t="str">
        <f ca="1">IF(ROWS($1:7)&gt;COUNT(Dong1),"",IF(OFFSET(TH!M$1,SMALL(Dong1,ROWS($1:7)),)="1111",OFFSET(TH!L$1,SMALL(Dong1,ROWS($1:7)),),OFFSET(TH!M$1,SMALL(Dong1,ROWS($1:7)),)))</f>
        <v>642</v>
      </c>
      <c r="G20" s="120">
        <f ca="1">IF(ROWS($1:7)&gt;COUNT(Dong1),"",IF(OFFSET(TH!L$1,SMALL(Dong1,ROWS($1:7)),)="1111",OFFSET(TH!K$1,SMALL(Dong1,ROWS($1:7)),),0))</f>
        <v>0</v>
      </c>
      <c r="H20" s="118">
        <f ca="1">IF(ROWS($1:7)&gt;COUNT(Dong1),"",IF(OFFSET(TH!M$1,SMALL(Dong1,ROWS($1:7)),)="1111",OFFSET(TH!K$1,SMALL(Dong1,ROWS($1:7)),),0))</f>
        <v>250000</v>
      </c>
      <c r="I20" s="116">
        <f t="shared" ca="1" si="0"/>
        <v>2453266049</v>
      </c>
      <c r="J20" s="121"/>
      <c r="N20" s="535"/>
      <c r="O20" s="535"/>
    </row>
    <row r="21" spans="1:15" ht="21.75" customHeight="1">
      <c r="A21" s="115">
        <f ca="1">IF(ROWS($1:8)&gt;COUNT(Dong1),"",OFFSET(TH!C$1,SMALL(Dong1,ROWS($1:8)),))</f>
        <v>41202</v>
      </c>
      <c r="B21" s="115">
        <f ca="1">IF(ROWS($1:8)&gt;COUNT(Dong1),"",OFFSET(TH!E$1,SMALL(Dong1,ROWS($1:8)),))</f>
        <v>41202</v>
      </c>
      <c r="C21" s="116" t="str">
        <f ca="1">IF(ROWS($1:8)&gt;COUNT(Dong1),"",IF(OFFSET(TH!L$1,SMALL(Dong1,ROWS($1:8)),)="1111",OFFSET(TH!D$1,SMALL(Dong1,ROWS($1:8)),),""))</f>
        <v/>
      </c>
      <c r="D21" s="117" t="str">
        <f ca="1">IF(ROWS($1:8)&gt;COUNT(Dong1),"",IF(OFFSET(TH!M$1,SMALL(Dong1,ROWS($1:8)),)="1111",OFFSET(TH!D$1,SMALL(Dong1,ROWS($1:8)),),""))</f>
        <v>C05</v>
      </c>
      <c r="E21" s="216" t="str">
        <f ca="1">IF(ROWS($1:8)&gt;COUNT(Dong1),"",OFFSET(TH!F$1,SMALL(Dong1,ROWS($1:8)),))</f>
        <v>VAT Thanh toán tiền viễn thông</v>
      </c>
      <c r="F21" s="119" t="str">
        <f ca="1">IF(ROWS($1:8)&gt;COUNT(Dong1),"",IF(OFFSET(TH!M$1,SMALL(Dong1,ROWS($1:8)),)="1111",OFFSET(TH!L$1,SMALL(Dong1,ROWS($1:8)),),OFFSET(TH!M$1,SMALL(Dong1,ROWS($1:8)),)))</f>
        <v>1331</v>
      </c>
      <c r="G21" s="120">
        <f ca="1">IF(ROWS($1:8)&gt;COUNT(Dong1),"",IF(OFFSET(TH!L$1,SMALL(Dong1,ROWS($1:8)),)="1111",OFFSET(TH!K$1,SMALL(Dong1,ROWS($1:8)),),0))</f>
        <v>0</v>
      </c>
      <c r="H21" s="118">
        <f ca="1">IF(ROWS($1:8)&gt;COUNT(Dong1),"",IF(OFFSET(TH!M$1,SMALL(Dong1,ROWS($1:8)),)="1111",OFFSET(TH!K$1,SMALL(Dong1,ROWS($1:8)),),0))</f>
        <v>25000</v>
      </c>
      <c r="I21" s="116">
        <f t="shared" ca="1" si="0"/>
        <v>2453241049</v>
      </c>
      <c r="J21" s="121"/>
      <c r="N21" s="535"/>
      <c r="O21" s="535"/>
    </row>
    <row r="22" spans="1:15" ht="21.75" customHeight="1">
      <c r="A22" s="115">
        <f ca="1">IF(ROWS($1:9)&gt;COUNT(Dong1),"",OFFSET(TH!C$1,SMALL(Dong1,ROWS($1:9)),))</f>
        <v>41205</v>
      </c>
      <c r="B22" s="115">
        <f ca="1">IF(ROWS($1:9)&gt;COUNT(Dong1),"",OFFSET(TH!E$1,SMALL(Dong1,ROWS($1:9)),))</f>
        <v>41205</v>
      </c>
      <c r="C22" s="116" t="str">
        <f ca="1">IF(ROWS($1:9)&gt;COUNT(Dong1),"",IF(OFFSET(TH!L$1,SMALL(Dong1,ROWS($1:9)),)="1111",OFFSET(TH!D$1,SMALL(Dong1,ROWS($1:9)),),""))</f>
        <v>T02</v>
      </c>
      <c r="D22" s="117" t="str">
        <f ca="1">IF(ROWS($1:9)&gt;COUNT(Dong1),"",IF(OFFSET(TH!M$1,SMALL(Dong1,ROWS($1:9)),)="1111",OFFSET(TH!D$1,SMALL(Dong1,ROWS($1:9)),),""))</f>
        <v/>
      </c>
      <c r="E22" s="216" t="str">
        <f ca="1">IF(ROWS($1:9)&gt;COUNT(Dong1),"",OFFSET(TH!F$1,SMALL(Dong1,ROWS($1:9)),))</f>
        <v>Thu tiền hàng</v>
      </c>
      <c r="F22" s="119" t="str">
        <f ca="1">IF(ROWS($1:9)&gt;COUNT(Dong1),"",IF(OFFSET(TH!M$1,SMALL(Dong1,ROWS($1:9)),)="1111",OFFSET(TH!L$1,SMALL(Dong1,ROWS($1:9)),),OFFSET(TH!M$1,SMALL(Dong1,ROWS($1:9)),)))</f>
        <v>131</v>
      </c>
      <c r="G22" s="120">
        <f ca="1">IF(ROWS($1:9)&gt;COUNT(Dong1),"",IF(OFFSET(TH!L$1,SMALL(Dong1,ROWS($1:9)),)="1111",OFFSET(TH!K$1,SMALL(Dong1,ROWS($1:9)),),0))</f>
        <v>13563660</v>
      </c>
      <c r="H22" s="118">
        <f ca="1">IF(ROWS($1:9)&gt;COUNT(Dong1),"",IF(OFFSET(TH!M$1,SMALL(Dong1,ROWS($1:9)),)="1111",OFFSET(TH!K$1,SMALL(Dong1,ROWS($1:9)),),0))</f>
        <v>0</v>
      </c>
      <c r="I22" s="116">
        <f t="shared" ca="1" si="0"/>
        <v>2466804709</v>
      </c>
      <c r="J22" s="121"/>
      <c r="N22" s="535"/>
      <c r="O22" s="535"/>
    </row>
    <row r="23" spans="1:15" ht="21.75" customHeight="1">
      <c r="A23" s="115">
        <f ca="1">IF(ROWS($1:10)&gt;COUNT(Dong1),"",OFFSET(TH!C$1,SMALL(Dong1,ROWS($1:10)),))</f>
        <v>41207</v>
      </c>
      <c r="B23" s="115">
        <f ca="1">IF(ROWS($1:10)&gt;COUNT(Dong1),"",OFFSET(TH!E$1,SMALL(Dong1,ROWS($1:10)),))</f>
        <v>41207</v>
      </c>
      <c r="C23" s="116" t="str">
        <f ca="1">IF(ROWS($1:10)&gt;COUNT(Dong1),"",IF(OFFSET(TH!L$1,SMALL(Dong1,ROWS($1:10)),)="1111",OFFSET(TH!D$1,SMALL(Dong1,ROWS($1:10)),),""))</f>
        <v/>
      </c>
      <c r="D23" s="117" t="str">
        <f ca="1">IF(ROWS($1:10)&gt;COUNT(Dong1),"",IF(OFFSET(TH!M$1,SMALL(Dong1,ROWS($1:10)),)="1111",OFFSET(TH!D$1,SMALL(Dong1,ROWS($1:10)),),""))</f>
        <v>C06</v>
      </c>
      <c r="E23" s="216" t="str">
        <f ca="1">IF(ROWS($1:10)&gt;COUNT(Dong1),"",OFFSET(TH!F$1,SMALL(Dong1,ROWS($1:10)),))</f>
        <v>Thanh toán tiền hàng</v>
      </c>
      <c r="F23" s="119" t="str">
        <f ca="1">IF(ROWS($1:10)&gt;COUNT(Dong1),"",IF(OFFSET(TH!M$1,SMALL(Dong1,ROWS($1:10)),)="1111",OFFSET(TH!L$1,SMALL(Dong1,ROWS($1:10)),),OFFSET(TH!M$1,SMALL(Dong1,ROWS($1:10)),)))</f>
        <v>331</v>
      </c>
      <c r="G23" s="120">
        <f ca="1">IF(ROWS($1:10)&gt;COUNT(Dong1),"",IF(OFFSET(TH!L$1,SMALL(Dong1,ROWS($1:10)),)="1111",OFFSET(TH!K$1,SMALL(Dong1,ROWS($1:10)),),0))</f>
        <v>0</v>
      </c>
      <c r="H23" s="118">
        <f ca="1">IF(ROWS($1:10)&gt;COUNT(Dong1),"",IF(OFFSET(TH!M$1,SMALL(Dong1,ROWS($1:10)),)="1111",OFFSET(TH!K$1,SMALL(Dong1,ROWS($1:10)),),0))</f>
        <v>12818300</v>
      </c>
      <c r="I23" s="116">
        <f t="shared" ca="1" si="0"/>
        <v>2453986409</v>
      </c>
      <c r="J23" s="121"/>
      <c r="N23" s="535"/>
      <c r="O23" s="535"/>
    </row>
    <row r="24" spans="1:15" ht="21.75" customHeight="1">
      <c r="A24" s="115">
        <f ca="1">IF(ROWS($1:11)&gt;COUNT(Dong1),"",OFFSET(TH!C$1,SMALL(Dong1,ROWS($1:11)),))</f>
        <v>41207</v>
      </c>
      <c r="B24" s="115">
        <f ca="1">IF(ROWS($1:11)&gt;COUNT(Dong1),"",OFFSET(TH!E$1,SMALL(Dong1,ROWS($1:11)),))</f>
        <v>41207</v>
      </c>
      <c r="C24" s="116" t="str">
        <f ca="1">IF(ROWS($1:11)&gt;COUNT(Dong1),"",IF(OFFSET(TH!L$1,SMALL(Dong1,ROWS($1:11)),)="1111",OFFSET(TH!D$1,SMALL(Dong1,ROWS($1:11)),),""))</f>
        <v>T03</v>
      </c>
      <c r="D24" s="117" t="str">
        <f ca="1">IF(ROWS($1:11)&gt;COUNT(Dong1),"",IF(OFFSET(TH!M$1,SMALL(Dong1,ROWS($1:11)),)="1111",OFFSET(TH!D$1,SMALL(Dong1,ROWS($1:11)),),""))</f>
        <v/>
      </c>
      <c r="E24" s="216" t="str">
        <f ca="1">IF(ROWS($1:11)&gt;COUNT(Dong1),"",OFFSET(TH!F$1,SMALL(Dong1,ROWS($1:11)),))</f>
        <v>Thu tiền hàng</v>
      </c>
      <c r="F24" s="119" t="str">
        <f ca="1">IF(ROWS($1:11)&gt;COUNT(Dong1),"",IF(OFFSET(TH!M$1,SMALL(Dong1,ROWS($1:11)),)="1111",OFFSET(TH!L$1,SMALL(Dong1,ROWS($1:11)),),OFFSET(TH!M$1,SMALL(Dong1,ROWS($1:11)),)))</f>
        <v>131</v>
      </c>
      <c r="G24" s="120">
        <f ca="1">IF(ROWS($1:11)&gt;COUNT(Dong1),"",IF(OFFSET(TH!L$1,SMALL(Dong1,ROWS($1:11)),)="1111",OFFSET(TH!K$1,SMALL(Dong1,ROWS($1:11)),),0))</f>
        <v>6888200</v>
      </c>
      <c r="H24" s="118">
        <f ca="1">IF(ROWS($1:11)&gt;COUNT(Dong1),"",IF(OFFSET(TH!M$1,SMALL(Dong1,ROWS($1:11)),)="1111",OFFSET(TH!K$1,SMALL(Dong1,ROWS($1:11)),),0))</f>
        <v>0</v>
      </c>
      <c r="I24" s="116">
        <f t="shared" ca="1" si="0"/>
        <v>2460874609</v>
      </c>
      <c r="J24" s="121"/>
      <c r="N24" s="535"/>
      <c r="O24" s="535"/>
    </row>
    <row r="25" spans="1:15" ht="21.75" customHeight="1">
      <c r="A25" s="115">
        <f ca="1">IF(ROWS($1:12)&gt;COUNT(Dong1),"",OFFSET(TH!C$1,SMALL(Dong1,ROWS($1:12)),))</f>
        <v>41208</v>
      </c>
      <c r="B25" s="115">
        <f ca="1">IF(ROWS($1:12)&gt;COUNT(Dong1),"",OFFSET(TH!E$1,SMALL(Dong1,ROWS($1:12)),))</f>
        <v>41208</v>
      </c>
      <c r="C25" s="116" t="str">
        <f ca="1">IF(ROWS($1:12)&gt;COUNT(Dong1),"",IF(OFFSET(TH!L$1,SMALL(Dong1,ROWS($1:12)),)="1111",OFFSET(TH!D$1,SMALL(Dong1,ROWS($1:12)),),""))</f>
        <v/>
      </c>
      <c r="D25" s="117" t="str">
        <f ca="1">IF(ROWS($1:12)&gt;COUNT(Dong1),"",IF(OFFSET(TH!M$1,SMALL(Dong1,ROWS($1:12)),)="1111",OFFSET(TH!D$1,SMALL(Dong1,ROWS($1:12)),),""))</f>
        <v>C07</v>
      </c>
      <c r="E25" s="216" t="str">
        <f ca="1">IF(ROWS($1:12)&gt;COUNT(Dong1),"",OFFSET(TH!F$1,SMALL(Dong1,ROWS($1:12)),))</f>
        <v>Thanh toán tiền hàng</v>
      </c>
      <c r="F25" s="119" t="str">
        <f ca="1">IF(ROWS($1:12)&gt;COUNT(Dong1),"",IF(OFFSET(TH!M$1,SMALL(Dong1,ROWS($1:12)),)="1111",OFFSET(TH!L$1,SMALL(Dong1,ROWS($1:12)),),OFFSET(TH!M$1,SMALL(Dong1,ROWS($1:12)),)))</f>
        <v>331</v>
      </c>
      <c r="G25" s="120">
        <f ca="1">IF(ROWS($1:12)&gt;COUNT(Dong1),"",IF(OFFSET(TH!L$1,SMALL(Dong1,ROWS($1:12)),)="1111",OFFSET(TH!K$1,SMALL(Dong1,ROWS($1:12)),),0))</f>
        <v>0</v>
      </c>
      <c r="H25" s="118">
        <f ca="1">IF(ROWS($1:12)&gt;COUNT(Dong1),"",IF(OFFSET(TH!M$1,SMALL(Dong1,ROWS($1:12)),)="1111",OFFSET(TH!K$1,SMALL(Dong1,ROWS($1:12)),),0))</f>
        <v>6734882</v>
      </c>
      <c r="I25" s="116">
        <f t="shared" ca="1" si="0"/>
        <v>2454139727</v>
      </c>
      <c r="J25" s="121"/>
      <c r="N25" s="535"/>
      <c r="O25" s="535"/>
    </row>
    <row r="26" spans="1:15" ht="21.75" customHeight="1">
      <c r="A26" s="115">
        <f ca="1">IF(ROWS($1:13)&gt;COUNT(Dong1),"",OFFSET(TH!C$1,SMALL(Dong1,ROWS($1:13)),))</f>
        <v>41209</v>
      </c>
      <c r="B26" s="115">
        <f ca="1">IF(ROWS($1:13)&gt;COUNT(Dong1),"",OFFSET(TH!E$1,SMALL(Dong1,ROWS($1:13)),))</f>
        <v>41209</v>
      </c>
      <c r="C26" s="116" t="str">
        <f ca="1">IF(ROWS($1:13)&gt;COUNT(Dong1),"",IF(OFFSET(TH!L$1,SMALL(Dong1,ROWS($1:13)),)="1111",OFFSET(TH!D$1,SMALL(Dong1,ROWS($1:13)),),""))</f>
        <v/>
      </c>
      <c r="D26" s="117" t="str">
        <f ca="1">IF(ROWS($1:13)&gt;COUNT(Dong1),"",IF(OFFSET(TH!M$1,SMALL(Dong1,ROWS($1:13)),)="1111",OFFSET(TH!D$1,SMALL(Dong1,ROWS($1:13)),),""))</f>
        <v>C08</v>
      </c>
      <c r="E26" s="216" t="str">
        <f ca="1">IF(ROWS($1:13)&gt;COUNT(Dong1),"",OFFSET(TH!F$1,SMALL(Dong1,ROWS($1:13)),))</f>
        <v>Thanh toán tiền hàng</v>
      </c>
      <c r="F26" s="119" t="str">
        <f ca="1">IF(ROWS($1:13)&gt;COUNT(Dong1),"",IF(OFFSET(TH!M$1,SMALL(Dong1,ROWS($1:13)),)="1111",OFFSET(TH!L$1,SMALL(Dong1,ROWS($1:13)),),OFFSET(TH!M$1,SMALL(Dong1,ROWS($1:13)),)))</f>
        <v>331</v>
      </c>
      <c r="G26" s="120">
        <f ca="1">IF(ROWS($1:13)&gt;COUNT(Dong1),"",IF(OFFSET(TH!L$1,SMALL(Dong1,ROWS($1:13)),)="1111",OFFSET(TH!K$1,SMALL(Dong1,ROWS($1:13)),),0))</f>
        <v>0</v>
      </c>
      <c r="H26" s="118">
        <f ca="1">IF(ROWS($1:13)&gt;COUNT(Dong1),"",IF(OFFSET(TH!M$1,SMALL(Dong1,ROWS($1:13)),)="1111",OFFSET(TH!K$1,SMALL(Dong1,ROWS($1:13)),),0))</f>
        <v>13550900</v>
      </c>
      <c r="I26" s="116">
        <f t="shared" ca="1" si="0"/>
        <v>2440588827</v>
      </c>
      <c r="J26" s="121"/>
      <c r="N26" s="535"/>
      <c r="O26" s="535"/>
    </row>
    <row r="27" spans="1:15" ht="21.75" customHeight="1">
      <c r="A27" s="115">
        <f ca="1">IF(ROWS($1:14)&gt;COUNT(Dong1),"",OFFSET(TH!C$1,SMALL(Dong1,ROWS($1:14)),))</f>
        <v>41211</v>
      </c>
      <c r="B27" s="115">
        <f ca="1">IF(ROWS($1:14)&gt;COUNT(Dong1),"",OFFSET(TH!E$1,SMALL(Dong1,ROWS($1:14)),))</f>
        <v>41211</v>
      </c>
      <c r="C27" s="116" t="str">
        <f ca="1">IF(ROWS($1:14)&gt;COUNT(Dong1),"",IF(OFFSET(TH!L$1,SMALL(Dong1,ROWS($1:14)),)="1111",OFFSET(TH!D$1,SMALL(Dong1,ROWS($1:14)),),""))</f>
        <v/>
      </c>
      <c r="D27" s="117" t="str">
        <f ca="1">IF(ROWS($1:14)&gt;COUNT(Dong1),"",IF(OFFSET(TH!M$1,SMALL(Dong1,ROWS($1:14)),)="1111",OFFSET(TH!D$1,SMALL(Dong1,ROWS($1:14)),),""))</f>
        <v>C09</v>
      </c>
      <c r="E27" s="216" t="str">
        <f ca="1">IF(ROWS($1:14)&gt;COUNT(Dong1),"",OFFSET(TH!F$1,SMALL(Dong1,ROWS($1:14)),))</f>
        <v>Mực in</v>
      </c>
      <c r="F27" s="119" t="str">
        <f ca="1">IF(ROWS($1:14)&gt;COUNT(Dong1),"",IF(OFFSET(TH!M$1,SMALL(Dong1,ROWS($1:14)),)="1111",OFFSET(TH!L$1,SMALL(Dong1,ROWS($1:14)),),OFFSET(TH!M$1,SMALL(Dong1,ROWS($1:14)),)))</f>
        <v>154</v>
      </c>
      <c r="G27" s="120">
        <f ca="1">IF(ROWS($1:14)&gt;COUNT(Dong1),"",IF(OFFSET(TH!L$1,SMALL(Dong1,ROWS($1:14)),)="1111",OFFSET(TH!K$1,SMALL(Dong1,ROWS($1:14)),),0))</f>
        <v>0</v>
      </c>
      <c r="H27" s="118">
        <f ca="1">IF(ROWS($1:14)&gt;COUNT(Dong1),"",IF(OFFSET(TH!M$1,SMALL(Dong1,ROWS($1:14)),)="1111",OFFSET(TH!K$1,SMALL(Dong1,ROWS($1:14)),),0))</f>
        <v>1400000</v>
      </c>
      <c r="I27" s="116">
        <f t="shared" ca="1" si="0"/>
        <v>2439188827</v>
      </c>
      <c r="J27" s="121"/>
      <c r="N27" s="535"/>
      <c r="O27" s="535"/>
    </row>
    <row r="28" spans="1:15" ht="21.75" customHeight="1">
      <c r="A28" s="115">
        <f ca="1">IF(ROWS($1:15)&gt;COUNT(Dong1),"",OFFSET(TH!C$1,SMALL(Dong1,ROWS($1:15)),))</f>
        <v>41213</v>
      </c>
      <c r="B28" s="115">
        <f ca="1">IF(ROWS($1:15)&gt;COUNT(Dong1),"",OFFSET(TH!E$1,SMALL(Dong1,ROWS($1:15)),))</f>
        <v>41213</v>
      </c>
      <c r="C28" s="116" t="str">
        <f ca="1">IF(ROWS($1:15)&gt;COUNT(Dong1),"",IF(OFFSET(TH!L$1,SMALL(Dong1,ROWS($1:15)),)="1111",OFFSET(TH!D$1,SMALL(Dong1,ROWS($1:15)),),""))</f>
        <v>T04</v>
      </c>
      <c r="D28" s="117" t="str">
        <f ca="1">IF(ROWS($1:15)&gt;COUNT(Dong1),"",IF(OFFSET(TH!M$1,SMALL(Dong1,ROWS($1:15)),)="1111",OFFSET(TH!D$1,SMALL(Dong1,ROWS($1:15)),),""))</f>
        <v/>
      </c>
      <c r="E28" s="216" t="str">
        <f ca="1">IF(ROWS($1:15)&gt;COUNT(Dong1),"",OFFSET(TH!F$1,SMALL(Dong1,ROWS($1:15)),))</f>
        <v>Thu tiền hàng</v>
      </c>
      <c r="F28" s="119" t="str">
        <f ca="1">IF(ROWS($1:15)&gt;COUNT(Dong1),"",IF(OFFSET(TH!M$1,SMALL(Dong1,ROWS($1:15)),)="1111",OFFSET(TH!L$1,SMALL(Dong1,ROWS($1:15)),),OFFSET(TH!M$1,SMALL(Dong1,ROWS($1:15)),)))</f>
        <v>131</v>
      </c>
      <c r="G28" s="120">
        <f ca="1">IF(ROWS($1:15)&gt;COUNT(Dong1),"",IF(OFFSET(TH!L$1,SMALL(Dong1,ROWS($1:15)),)="1111",OFFSET(TH!K$1,SMALL(Dong1,ROWS($1:15)),),0))</f>
        <v>11484000</v>
      </c>
      <c r="H28" s="118">
        <f ca="1">IF(ROWS($1:15)&gt;COUNT(Dong1),"",IF(OFFSET(TH!M$1,SMALL(Dong1,ROWS($1:15)),)="1111",OFFSET(TH!K$1,SMALL(Dong1,ROWS($1:15)),),0))</f>
        <v>0</v>
      </c>
      <c r="I28" s="116">
        <f t="shared" ca="1" si="0"/>
        <v>2450672827</v>
      </c>
      <c r="J28" s="121"/>
      <c r="N28" s="535"/>
      <c r="O28" s="535"/>
    </row>
    <row r="29" spans="1:15" ht="21.75" customHeight="1">
      <c r="A29" s="115">
        <f ca="1">IF(ROWS($1:16)&gt;COUNT(Dong1),"",OFFSET(TH!C$1,SMALL(Dong1,ROWS($1:16)),))</f>
        <v>41214</v>
      </c>
      <c r="B29" s="115">
        <f ca="1">IF(ROWS($1:16)&gt;COUNT(Dong1),"",OFFSET(TH!E$1,SMALL(Dong1,ROWS($1:16)),))</f>
        <v>41214</v>
      </c>
      <c r="C29" s="116" t="str">
        <f ca="1">IF(ROWS($1:16)&gt;COUNT(Dong1),"",IF(OFFSET(TH!L$1,SMALL(Dong1,ROWS($1:16)),)="1111",OFFSET(TH!D$1,SMALL(Dong1,ROWS($1:16)),),""))</f>
        <v>T05</v>
      </c>
      <c r="D29" s="117" t="str">
        <f ca="1">IF(ROWS($1:16)&gt;COUNT(Dong1),"",IF(OFFSET(TH!M$1,SMALL(Dong1,ROWS($1:16)),)="1111",OFFSET(TH!D$1,SMALL(Dong1,ROWS($1:16)),),""))</f>
        <v/>
      </c>
      <c r="E29" s="216" t="str">
        <f ca="1">IF(ROWS($1:16)&gt;COUNT(Dong1),"",OFFSET(TH!F$1,SMALL(Dong1,ROWS($1:16)),))</f>
        <v>Rút sec nhập quỹ tiền mặt</v>
      </c>
      <c r="F29" s="119" t="str">
        <f ca="1">IF(ROWS($1:16)&gt;COUNT(Dong1),"",IF(OFFSET(TH!M$1,SMALL(Dong1,ROWS($1:16)),)="1111",OFFSET(TH!L$1,SMALL(Dong1,ROWS($1:16)),),OFFSET(TH!M$1,SMALL(Dong1,ROWS($1:16)),)))</f>
        <v>1121</v>
      </c>
      <c r="G29" s="120">
        <f ca="1">IF(ROWS($1:16)&gt;COUNT(Dong1),"",IF(OFFSET(TH!L$1,SMALL(Dong1,ROWS($1:16)),)="1111",OFFSET(TH!K$1,SMALL(Dong1,ROWS($1:16)),),0))</f>
        <v>31000000</v>
      </c>
      <c r="H29" s="118">
        <f ca="1">IF(ROWS($1:16)&gt;COUNT(Dong1),"",IF(OFFSET(TH!M$1,SMALL(Dong1,ROWS($1:16)),)="1111",OFFSET(TH!K$1,SMALL(Dong1,ROWS($1:16)),),0))</f>
        <v>0</v>
      </c>
      <c r="I29" s="116">
        <f t="shared" ca="1" si="0"/>
        <v>2481672827</v>
      </c>
      <c r="J29" s="121"/>
      <c r="N29" s="535"/>
      <c r="O29" s="535"/>
    </row>
    <row r="30" spans="1:15" ht="21.75" customHeight="1">
      <c r="A30" s="115">
        <f ca="1">IF(ROWS($1:17)&gt;COUNT(Dong1),"",OFFSET(TH!C$1,SMALL(Dong1,ROWS($1:17)),))</f>
        <v>41214</v>
      </c>
      <c r="B30" s="115">
        <f ca="1">IF(ROWS($1:17)&gt;COUNT(Dong1),"",OFFSET(TH!E$1,SMALL(Dong1,ROWS($1:17)),))</f>
        <v>41214</v>
      </c>
      <c r="C30" s="116" t="str">
        <f ca="1">IF(ROWS($1:17)&gt;COUNT(Dong1),"",IF(OFFSET(TH!L$1,SMALL(Dong1,ROWS($1:17)),)="1111",OFFSET(TH!D$1,SMALL(Dong1,ROWS($1:17)),),""))</f>
        <v>T06</v>
      </c>
      <c r="D30" s="117" t="str">
        <f ca="1">IF(ROWS($1:17)&gt;COUNT(Dong1),"",IF(OFFSET(TH!M$1,SMALL(Dong1,ROWS($1:17)),)="1111",OFFSET(TH!D$1,SMALL(Dong1,ROWS($1:17)),),""))</f>
        <v/>
      </c>
      <c r="E30" s="216" t="str">
        <f ca="1">IF(ROWS($1:17)&gt;COUNT(Dong1),"",OFFSET(TH!F$1,SMALL(Dong1,ROWS($1:17)),))</f>
        <v>Thu tiền hàng</v>
      </c>
      <c r="F30" s="119" t="str">
        <f ca="1">IF(ROWS($1:17)&gt;COUNT(Dong1),"",IF(OFFSET(TH!M$1,SMALL(Dong1,ROWS($1:17)),)="1111",OFFSET(TH!L$1,SMALL(Dong1,ROWS($1:17)),),OFFSET(TH!M$1,SMALL(Dong1,ROWS($1:17)),)))</f>
        <v>131</v>
      </c>
      <c r="G30" s="120">
        <f ca="1">IF(ROWS($1:17)&gt;COUNT(Dong1),"",IF(OFFSET(TH!L$1,SMALL(Dong1,ROWS($1:17)),)="1111",OFFSET(TH!K$1,SMALL(Dong1,ROWS($1:17)),),0))</f>
        <v>11513425</v>
      </c>
      <c r="H30" s="118">
        <f ca="1">IF(ROWS($1:17)&gt;COUNT(Dong1),"",IF(OFFSET(TH!M$1,SMALL(Dong1,ROWS($1:17)),)="1111",OFFSET(TH!K$1,SMALL(Dong1,ROWS($1:17)),),0))</f>
        <v>0</v>
      </c>
      <c r="I30" s="116">
        <f t="shared" ca="1" si="0"/>
        <v>2493186252</v>
      </c>
      <c r="J30" s="121"/>
      <c r="N30" s="535"/>
      <c r="O30" s="535"/>
    </row>
    <row r="31" spans="1:15" ht="21.75" customHeight="1">
      <c r="A31" s="115">
        <f ca="1">IF(ROWS($1:18)&gt;COUNT(Dong1),"",OFFSET(TH!C$1,SMALL(Dong1,ROWS($1:18)),))</f>
        <v>41215</v>
      </c>
      <c r="B31" s="115">
        <f ca="1">IF(ROWS($1:18)&gt;COUNT(Dong1),"",OFFSET(TH!E$1,SMALL(Dong1,ROWS($1:18)),))</f>
        <v>41215</v>
      </c>
      <c r="C31" s="116" t="str">
        <f ca="1">IF(ROWS($1:18)&gt;COUNT(Dong1),"",IF(OFFSET(TH!L$1,SMALL(Dong1,ROWS($1:18)),)="1111",OFFSET(TH!D$1,SMALL(Dong1,ROWS($1:18)),),""))</f>
        <v/>
      </c>
      <c r="D31" s="117" t="str">
        <f ca="1">IF(ROWS($1:18)&gt;COUNT(Dong1),"",IF(OFFSET(TH!M$1,SMALL(Dong1,ROWS($1:18)),)="1111",OFFSET(TH!D$1,SMALL(Dong1,ROWS($1:18)),),""))</f>
        <v>C10</v>
      </c>
      <c r="E31" s="216" t="str">
        <f ca="1">IF(ROWS($1:18)&gt;COUNT(Dong1),"",OFFSET(TH!F$1,SMALL(Dong1,ROWS($1:18)),))</f>
        <v>Thanh toán tiền hàng</v>
      </c>
      <c r="F31" s="119" t="str">
        <f ca="1">IF(ROWS($1:18)&gt;COUNT(Dong1),"",IF(OFFSET(TH!M$1,SMALL(Dong1,ROWS($1:18)),)="1111",OFFSET(TH!L$1,SMALL(Dong1,ROWS($1:18)),),OFFSET(TH!M$1,SMALL(Dong1,ROWS($1:18)),)))</f>
        <v>331</v>
      </c>
      <c r="G31" s="120">
        <f ca="1">IF(ROWS($1:18)&gt;COUNT(Dong1),"",IF(OFFSET(TH!L$1,SMALL(Dong1,ROWS($1:18)),)="1111",OFFSET(TH!K$1,SMALL(Dong1,ROWS($1:18)),),0))</f>
        <v>0</v>
      </c>
      <c r="H31" s="118">
        <f ca="1">IF(ROWS($1:18)&gt;COUNT(Dong1),"",IF(OFFSET(TH!M$1,SMALL(Dong1,ROWS($1:18)),)="1111",OFFSET(TH!K$1,SMALL(Dong1,ROWS($1:18)),),0))</f>
        <v>14025000</v>
      </c>
      <c r="I31" s="116">
        <f t="shared" ca="1" si="0"/>
        <v>2479161252</v>
      </c>
      <c r="J31" s="121"/>
      <c r="N31" s="535"/>
      <c r="O31" s="535"/>
    </row>
    <row r="32" spans="1:15" ht="21.75" customHeight="1">
      <c r="A32" s="115">
        <f ca="1">IF(ROWS($1:19)&gt;COUNT(Dong1),"",OFFSET(TH!C$1,SMALL(Dong1,ROWS($1:19)),))</f>
        <v>41215</v>
      </c>
      <c r="B32" s="115">
        <f ca="1">IF(ROWS($1:19)&gt;COUNT(Dong1),"",OFFSET(TH!E$1,SMALL(Dong1,ROWS($1:19)),))</f>
        <v>41215</v>
      </c>
      <c r="C32" s="116" t="str">
        <f ca="1">IF(ROWS($1:19)&gt;COUNT(Dong1),"",IF(OFFSET(TH!L$1,SMALL(Dong1,ROWS($1:19)),)="1111",OFFSET(TH!D$1,SMALL(Dong1,ROWS($1:19)),),""))</f>
        <v/>
      </c>
      <c r="D32" s="117" t="str">
        <f ca="1">IF(ROWS($1:19)&gt;COUNT(Dong1),"",IF(OFFSET(TH!M$1,SMALL(Dong1,ROWS($1:19)),)="1111",OFFSET(TH!D$1,SMALL(Dong1,ROWS($1:19)),),""))</f>
        <v>C11</v>
      </c>
      <c r="E32" s="216" t="str">
        <f ca="1">IF(ROWS($1:19)&gt;COUNT(Dong1),"",OFFSET(TH!F$1,SMALL(Dong1,ROWS($1:19)),))</f>
        <v>Thanh toán tiền hàng</v>
      </c>
      <c r="F32" s="119" t="str">
        <f ca="1">IF(ROWS($1:19)&gt;COUNT(Dong1),"",IF(OFFSET(TH!M$1,SMALL(Dong1,ROWS($1:19)),)="1111",OFFSET(TH!L$1,SMALL(Dong1,ROWS($1:19)),),OFFSET(TH!M$1,SMALL(Dong1,ROWS($1:19)),)))</f>
        <v>331</v>
      </c>
      <c r="G32" s="120">
        <f ca="1">IF(ROWS($1:19)&gt;COUNT(Dong1),"",IF(OFFSET(TH!L$1,SMALL(Dong1,ROWS($1:19)),)="1111",OFFSET(TH!K$1,SMALL(Dong1,ROWS($1:19)),),0))</f>
        <v>0</v>
      </c>
      <c r="H32" s="118">
        <f ca="1">IF(ROWS($1:19)&gt;COUNT(Dong1),"",IF(OFFSET(TH!M$1,SMALL(Dong1,ROWS($1:19)),)="1111",OFFSET(TH!K$1,SMALL(Dong1,ROWS($1:19)),),0))</f>
        <v>5663900</v>
      </c>
      <c r="I32" s="116">
        <f t="shared" ca="1" si="0"/>
        <v>2473497352</v>
      </c>
      <c r="J32" s="121"/>
      <c r="N32" s="535"/>
      <c r="O32" s="535"/>
    </row>
    <row r="33" spans="1:15" ht="21.75" customHeight="1">
      <c r="A33" s="115">
        <f ca="1">IF(ROWS($1:20)&gt;COUNT(Dong1),"",OFFSET(TH!C$1,SMALL(Dong1,ROWS($1:20)),))</f>
        <v>41215</v>
      </c>
      <c r="B33" s="115">
        <f ca="1">IF(ROWS($1:20)&gt;COUNT(Dong1),"",OFFSET(TH!E$1,SMALL(Dong1,ROWS($1:20)),))</f>
        <v>41215</v>
      </c>
      <c r="C33" s="116" t="str">
        <f ca="1">IF(ROWS($1:20)&gt;COUNT(Dong1),"",IF(OFFSET(TH!L$1,SMALL(Dong1,ROWS($1:20)),)="1111",OFFSET(TH!D$1,SMALL(Dong1,ROWS($1:20)),),""))</f>
        <v>T07</v>
      </c>
      <c r="D33" s="117" t="str">
        <f ca="1">IF(ROWS($1:20)&gt;COUNT(Dong1),"",IF(OFFSET(TH!M$1,SMALL(Dong1,ROWS($1:20)),)="1111",OFFSET(TH!D$1,SMALL(Dong1,ROWS($1:20)),),""))</f>
        <v/>
      </c>
      <c r="E33" s="216" t="str">
        <f ca="1">IF(ROWS($1:20)&gt;COUNT(Dong1),"",OFFSET(TH!F$1,SMALL(Dong1,ROWS($1:20)),))</f>
        <v>Thu tiền hàng</v>
      </c>
      <c r="F33" s="119" t="str">
        <f ca="1">IF(ROWS($1:20)&gt;COUNT(Dong1),"",IF(OFFSET(TH!M$1,SMALL(Dong1,ROWS($1:20)),)="1111",OFFSET(TH!L$1,SMALL(Dong1,ROWS($1:20)),),OFFSET(TH!M$1,SMALL(Dong1,ROWS($1:20)),)))</f>
        <v>131</v>
      </c>
      <c r="G33" s="120">
        <f ca="1">IF(ROWS($1:20)&gt;COUNT(Dong1),"",IF(OFFSET(TH!L$1,SMALL(Dong1,ROWS($1:20)),)="1111",OFFSET(TH!K$1,SMALL(Dong1,ROWS($1:20)),),0))</f>
        <v>10939500</v>
      </c>
      <c r="H33" s="118">
        <f ca="1">IF(ROWS($1:20)&gt;COUNT(Dong1),"",IF(OFFSET(TH!M$1,SMALL(Dong1,ROWS($1:20)),)="1111",OFFSET(TH!K$1,SMALL(Dong1,ROWS($1:20)),),0))</f>
        <v>0</v>
      </c>
      <c r="I33" s="116">
        <f t="shared" ca="1" si="0"/>
        <v>2484436852</v>
      </c>
      <c r="J33" s="121"/>
      <c r="N33" s="535"/>
      <c r="O33" s="535"/>
    </row>
    <row r="34" spans="1:15" ht="21.75" customHeight="1">
      <c r="A34" s="115">
        <f ca="1">IF(ROWS($1:21)&gt;COUNT(Dong1),"",OFFSET(TH!C$1,SMALL(Dong1,ROWS($1:21)),))</f>
        <v>41219</v>
      </c>
      <c r="B34" s="115">
        <f ca="1">IF(ROWS($1:21)&gt;COUNT(Dong1),"",OFFSET(TH!E$1,SMALL(Dong1,ROWS($1:21)),))</f>
        <v>41219</v>
      </c>
      <c r="C34" s="116" t="str">
        <f ca="1">IF(ROWS($1:21)&gt;COUNT(Dong1),"",IF(OFFSET(TH!L$1,SMALL(Dong1,ROWS($1:21)),)="1111",OFFSET(TH!D$1,SMALL(Dong1,ROWS($1:21)),),""))</f>
        <v>T08</v>
      </c>
      <c r="D34" s="117" t="str">
        <f ca="1">IF(ROWS($1:21)&gt;COUNT(Dong1),"",IF(OFFSET(TH!M$1,SMALL(Dong1,ROWS($1:21)),)="1111",OFFSET(TH!D$1,SMALL(Dong1,ROWS($1:21)),),""))</f>
        <v/>
      </c>
      <c r="E34" s="216" t="str">
        <f ca="1">IF(ROWS($1:21)&gt;COUNT(Dong1),"",OFFSET(TH!F$1,SMALL(Dong1,ROWS($1:21)),))</f>
        <v>Thu tiền hàng</v>
      </c>
      <c r="F34" s="119" t="str">
        <f ca="1">IF(ROWS($1:21)&gt;COUNT(Dong1),"",IF(OFFSET(TH!M$1,SMALL(Dong1,ROWS($1:21)),)="1111",OFFSET(TH!L$1,SMALL(Dong1,ROWS($1:21)),),OFFSET(TH!M$1,SMALL(Dong1,ROWS($1:21)),)))</f>
        <v>131</v>
      </c>
      <c r="G34" s="120">
        <f ca="1">IF(ROWS($1:21)&gt;COUNT(Dong1),"",IF(OFFSET(TH!L$1,SMALL(Dong1,ROWS($1:21)),)="1111",OFFSET(TH!K$1,SMALL(Dong1,ROWS($1:21)),),0))</f>
        <v>6297500</v>
      </c>
      <c r="H34" s="118">
        <f ca="1">IF(ROWS($1:21)&gt;COUNT(Dong1),"",IF(OFFSET(TH!M$1,SMALL(Dong1,ROWS($1:21)),)="1111",OFFSET(TH!K$1,SMALL(Dong1,ROWS($1:21)),),0))</f>
        <v>0</v>
      </c>
      <c r="I34" s="116">
        <f t="shared" ca="1" si="0"/>
        <v>2490734352</v>
      </c>
      <c r="J34" s="121"/>
      <c r="N34" s="535"/>
      <c r="O34" s="535"/>
    </row>
    <row r="35" spans="1:15" ht="21.75" customHeight="1">
      <c r="A35" s="115">
        <f ca="1">IF(ROWS($1:22)&gt;COUNT(Dong1),"",OFFSET(TH!C$1,SMALL(Dong1,ROWS($1:22)),))</f>
        <v>41220</v>
      </c>
      <c r="B35" s="115">
        <f ca="1">IF(ROWS($1:22)&gt;COUNT(Dong1),"",OFFSET(TH!E$1,SMALL(Dong1,ROWS($1:22)),))</f>
        <v>41220</v>
      </c>
      <c r="C35" s="116" t="str">
        <f ca="1">IF(ROWS($1:22)&gt;COUNT(Dong1),"",IF(OFFSET(TH!L$1,SMALL(Dong1,ROWS($1:22)),)="1111",OFFSET(TH!D$1,SMALL(Dong1,ROWS($1:22)),),""))</f>
        <v/>
      </c>
      <c r="D35" s="117" t="str">
        <f ca="1">IF(ROWS($1:22)&gt;COUNT(Dong1),"",IF(OFFSET(TH!M$1,SMALL(Dong1,ROWS($1:22)),)="1111",OFFSET(TH!D$1,SMALL(Dong1,ROWS($1:22)),),""))</f>
        <v>C12</v>
      </c>
      <c r="E35" s="216" t="str">
        <f ca="1">IF(ROWS($1:22)&gt;COUNT(Dong1),"",OFFSET(TH!F$1,SMALL(Dong1,ROWS($1:22)),))</f>
        <v>Vật dụng phòng khách</v>
      </c>
      <c r="F35" s="119" t="str">
        <f ca="1">IF(ROWS($1:22)&gt;COUNT(Dong1),"",IF(OFFSET(TH!M$1,SMALL(Dong1,ROWS($1:22)),)="1111",OFFSET(TH!L$1,SMALL(Dong1,ROWS($1:22)),),OFFSET(TH!M$1,SMALL(Dong1,ROWS($1:22)),)))</f>
        <v>642</v>
      </c>
      <c r="G35" s="120">
        <f ca="1">IF(ROWS($1:22)&gt;COUNT(Dong1),"",IF(OFFSET(TH!L$1,SMALL(Dong1,ROWS($1:22)),)="1111",OFFSET(TH!K$1,SMALL(Dong1,ROWS($1:22)),),0))</f>
        <v>0</v>
      </c>
      <c r="H35" s="118">
        <f ca="1">IF(ROWS($1:22)&gt;COUNT(Dong1),"",IF(OFFSET(TH!M$1,SMALL(Dong1,ROWS($1:22)),)="1111",OFFSET(TH!K$1,SMALL(Dong1,ROWS($1:22)),),0))</f>
        <v>4845455</v>
      </c>
      <c r="I35" s="116">
        <f t="shared" ca="1" si="0"/>
        <v>2485888897</v>
      </c>
      <c r="J35" s="121"/>
      <c r="N35" s="535"/>
      <c r="O35" s="535"/>
    </row>
    <row r="36" spans="1:15" ht="21.75" customHeight="1">
      <c r="A36" s="115">
        <f ca="1">IF(ROWS($1:23)&gt;COUNT(Dong1),"",OFFSET(TH!C$1,SMALL(Dong1,ROWS($1:23)),))</f>
        <v>41220</v>
      </c>
      <c r="B36" s="115">
        <f ca="1">IF(ROWS($1:23)&gt;COUNT(Dong1),"",OFFSET(TH!E$1,SMALL(Dong1,ROWS($1:23)),))</f>
        <v>41220</v>
      </c>
      <c r="C36" s="116" t="str">
        <f ca="1">IF(ROWS($1:23)&gt;COUNT(Dong1),"",IF(OFFSET(TH!L$1,SMALL(Dong1,ROWS($1:23)),)="1111",OFFSET(TH!D$1,SMALL(Dong1,ROWS($1:23)),),""))</f>
        <v/>
      </c>
      <c r="D36" s="117" t="str">
        <f ca="1">IF(ROWS($1:23)&gt;COUNT(Dong1),"",IF(OFFSET(TH!M$1,SMALL(Dong1,ROWS($1:23)),)="1111",OFFSET(TH!D$1,SMALL(Dong1,ROWS($1:23)),),""))</f>
        <v>C12</v>
      </c>
      <c r="E36" s="216" t="str">
        <f ca="1">IF(ROWS($1:23)&gt;COUNT(Dong1),"",OFFSET(TH!F$1,SMALL(Dong1,ROWS($1:23)),))</f>
        <v>VAT Vật dụng phòng khách</v>
      </c>
      <c r="F36" s="119" t="str">
        <f ca="1">IF(ROWS($1:23)&gt;COUNT(Dong1),"",IF(OFFSET(TH!M$1,SMALL(Dong1,ROWS($1:23)),)="1111",OFFSET(TH!L$1,SMALL(Dong1,ROWS($1:23)),),OFFSET(TH!M$1,SMALL(Dong1,ROWS($1:23)),)))</f>
        <v>1331</v>
      </c>
      <c r="G36" s="120">
        <f ca="1">IF(ROWS($1:23)&gt;COUNT(Dong1),"",IF(OFFSET(TH!L$1,SMALL(Dong1,ROWS($1:23)),)="1111",OFFSET(TH!K$1,SMALL(Dong1,ROWS($1:23)),),0))</f>
        <v>0</v>
      </c>
      <c r="H36" s="118">
        <f ca="1">IF(ROWS($1:23)&gt;COUNT(Dong1),"",IF(OFFSET(TH!M$1,SMALL(Dong1,ROWS($1:23)),)="1111",OFFSET(TH!K$1,SMALL(Dong1,ROWS($1:23)),),0))</f>
        <v>484545</v>
      </c>
      <c r="I36" s="116">
        <f t="shared" ca="1" si="0"/>
        <v>2485404352</v>
      </c>
      <c r="J36" s="121"/>
      <c r="N36" s="535"/>
      <c r="O36" s="535"/>
    </row>
    <row r="37" spans="1:15" ht="21.75" customHeight="1">
      <c r="A37" s="115">
        <f ca="1">IF(ROWS($1:24)&gt;COUNT(Dong1),"",OFFSET(TH!C$1,SMALL(Dong1,ROWS($1:24)),))</f>
        <v>41221</v>
      </c>
      <c r="B37" s="115">
        <f ca="1">IF(ROWS($1:24)&gt;COUNT(Dong1),"",OFFSET(TH!E$1,SMALL(Dong1,ROWS($1:24)),))</f>
        <v>41221</v>
      </c>
      <c r="C37" s="116" t="str">
        <f ca="1">IF(ROWS($1:24)&gt;COUNT(Dong1),"",IF(OFFSET(TH!L$1,SMALL(Dong1,ROWS($1:24)),)="1111",OFFSET(TH!D$1,SMALL(Dong1,ROWS($1:24)),),""))</f>
        <v/>
      </c>
      <c r="D37" s="117" t="str">
        <f ca="1">IF(ROWS($1:24)&gt;COUNT(Dong1),"",IF(OFFSET(TH!M$1,SMALL(Dong1,ROWS($1:24)),)="1111",OFFSET(TH!D$1,SMALL(Dong1,ROWS($1:24)),),""))</f>
        <v>C13</v>
      </c>
      <c r="E37" s="216" t="str">
        <f ca="1">IF(ROWS($1:24)&gt;COUNT(Dong1),"",OFFSET(TH!F$1,SMALL(Dong1,ROWS($1:24)),))</f>
        <v>Vật liệu xây dựng</v>
      </c>
      <c r="F37" s="119" t="str">
        <f ca="1">IF(ROWS($1:24)&gt;COUNT(Dong1),"",IF(OFFSET(TH!M$1,SMALL(Dong1,ROWS($1:24)),)="1111",OFFSET(TH!L$1,SMALL(Dong1,ROWS($1:24)),),OFFSET(TH!M$1,SMALL(Dong1,ROWS($1:24)),)))</f>
        <v>642</v>
      </c>
      <c r="G37" s="120">
        <f ca="1">IF(ROWS($1:24)&gt;COUNT(Dong1),"",IF(OFFSET(TH!L$1,SMALL(Dong1,ROWS($1:24)),)="1111",OFFSET(TH!K$1,SMALL(Dong1,ROWS($1:24)),),0))</f>
        <v>0</v>
      </c>
      <c r="H37" s="118">
        <f ca="1">IF(ROWS($1:24)&gt;COUNT(Dong1),"",IF(OFFSET(TH!M$1,SMALL(Dong1,ROWS($1:24)),)="1111",OFFSET(TH!K$1,SMALL(Dong1,ROWS($1:24)),),0))</f>
        <v>4372550</v>
      </c>
      <c r="I37" s="116">
        <f t="shared" ca="1" si="0"/>
        <v>2481031802</v>
      </c>
      <c r="J37" s="121"/>
      <c r="N37" s="535"/>
      <c r="O37" s="535"/>
    </row>
    <row r="38" spans="1:15" ht="21.75" customHeight="1">
      <c r="A38" s="115">
        <f ca="1">IF(ROWS($1:25)&gt;COUNT(Dong1),"",OFFSET(TH!C$1,SMALL(Dong1,ROWS($1:25)),))</f>
        <v>41221</v>
      </c>
      <c r="B38" s="115">
        <f ca="1">IF(ROWS($1:25)&gt;COUNT(Dong1),"",OFFSET(TH!E$1,SMALL(Dong1,ROWS($1:25)),))</f>
        <v>41221</v>
      </c>
      <c r="C38" s="116" t="str">
        <f ca="1">IF(ROWS($1:25)&gt;COUNT(Dong1),"",IF(OFFSET(TH!L$1,SMALL(Dong1,ROWS($1:25)),)="1111",OFFSET(TH!D$1,SMALL(Dong1,ROWS($1:25)),),""))</f>
        <v/>
      </c>
      <c r="D38" s="117" t="str">
        <f ca="1">IF(ROWS($1:25)&gt;COUNT(Dong1),"",IF(OFFSET(TH!M$1,SMALL(Dong1,ROWS($1:25)),)="1111",OFFSET(TH!D$1,SMALL(Dong1,ROWS($1:25)),),""))</f>
        <v>C13</v>
      </c>
      <c r="E38" s="216" t="str">
        <f ca="1">IF(ROWS($1:25)&gt;COUNT(Dong1),"",OFFSET(TH!F$1,SMALL(Dong1,ROWS($1:25)),))</f>
        <v>VAT Vật liệu xây dựng</v>
      </c>
      <c r="F38" s="119" t="str">
        <f ca="1">IF(ROWS($1:25)&gt;COUNT(Dong1),"",IF(OFFSET(TH!M$1,SMALL(Dong1,ROWS($1:25)),)="1111",OFFSET(TH!L$1,SMALL(Dong1,ROWS($1:25)),),OFFSET(TH!M$1,SMALL(Dong1,ROWS($1:25)),)))</f>
        <v>1331</v>
      </c>
      <c r="G38" s="120">
        <f ca="1">IF(ROWS($1:25)&gt;COUNT(Dong1),"",IF(OFFSET(TH!L$1,SMALL(Dong1,ROWS($1:25)),)="1111",OFFSET(TH!K$1,SMALL(Dong1,ROWS($1:25)),),0))</f>
        <v>0</v>
      </c>
      <c r="H38" s="118">
        <f ca="1">IF(ROWS($1:25)&gt;COUNT(Dong1),"",IF(OFFSET(TH!M$1,SMALL(Dong1,ROWS($1:25)),)="1111",OFFSET(TH!K$1,SMALL(Dong1,ROWS($1:25)),),0))</f>
        <v>437255</v>
      </c>
      <c r="I38" s="116">
        <f t="shared" ca="1" si="0"/>
        <v>2480594547</v>
      </c>
      <c r="J38" s="121"/>
      <c r="N38" s="535"/>
      <c r="O38" s="535"/>
    </row>
    <row r="39" spans="1:15" ht="21.75" customHeight="1">
      <c r="A39" s="115">
        <f ca="1">IF(ROWS($1:26)&gt;COUNT(Dong1),"",OFFSET(TH!C$1,SMALL(Dong1,ROWS($1:26)),))</f>
        <v>41221</v>
      </c>
      <c r="B39" s="115">
        <f ca="1">IF(ROWS($1:26)&gt;COUNT(Dong1),"",OFFSET(TH!E$1,SMALL(Dong1,ROWS($1:26)),))</f>
        <v>41221</v>
      </c>
      <c r="C39" s="116" t="str">
        <f ca="1">IF(ROWS($1:26)&gt;COUNT(Dong1),"",IF(OFFSET(TH!L$1,SMALL(Dong1,ROWS($1:26)),)="1111",OFFSET(TH!D$1,SMALL(Dong1,ROWS($1:26)),),""))</f>
        <v>T09</v>
      </c>
      <c r="D39" s="117" t="str">
        <f ca="1">IF(ROWS($1:26)&gt;COUNT(Dong1),"",IF(OFFSET(TH!M$1,SMALL(Dong1,ROWS($1:26)),)="1111",OFFSET(TH!D$1,SMALL(Dong1,ROWS($1:26)),),""))</f>
        <v/>
      </c>
      <c r="E39" s="216" t="str">
        <f ca="1">IF(ROWS($1:26)&gt;COUNT(Dong1),"",OFFSET(TH!F$1,SMALL(Dong1,ROWS($1:26)),))</f>
        <v>Thu tiền hàng</v>
      </c>
      <c r="F39" s="119" t="str">
        <f ca="1">IF(ROWS($1:26)&gt;COUNT(Dong1),"",IF(OFFSET(TH!M$1,SMALL(Dong1,ROWS($1:26)),)="1111",OFFSET(TH!L$1,SMALL(Dong1,ROWS($1:26)),),OFFSET(TH!M$1,SMALL(Dong1,ROWS($1:26)),)))</f>
        <v>131</v>
      </c>
      <c r="G39" s="120">
        <f ca="1">IF(ROWS($1:26)&gt;COUNT(Dong1),"",IF(OFFSET(TH!L$1,SMALL(Dong1,ROWS($1:26)),)="1111",OFFSET(TH!K$1,SMALL(Dong1,ROWS($1:26)),),0))</f>
        <v>6976200</v>
      </c>
      <c r="H39" s="118">
        <f ca="1">IF(ROWS($1:26)&gt;COUNT(Dong1),"",IF(OFFSET(TH!M$1,SMALL(Dong1,ROWS($1:26)),)="1111",OFFSET(TH!K$1,SMALL(Dong1,ROWS($1:26)),),0))</f>
        <v>0</v>
      </c>
      <c r="I39" s="116">
        <f t="shared" ca="1" si="0"/>
        <v>2487570747</v>
      </c>
      <c r="J39" s="121"/>
      <c r="N39" s="535"/>
      <c r="O39" s="535"/>
    </row>
    <row r="40" spans="1:15" ht="21.75" customHeight="1">
      <c r="A40" s="115">
        <f ca="1">IF(ROWS($1:27)&gt;COUNT(Dong1),"",OFFSET(TH!C$1,SMALL(Dong1,ROWS($1:27)),))</f>
        <v>41222</v>
      </c>
      <c r="B40" s="115">
        <f ca="1">IF(ROWS($1:27)&gt;COUNT(Dong1),"",OFFSET(TH!E$1,SMALL(Dong1,ROWS($1:27)),))</f>
        <v>41222</v>
      </c>
      <c r="C40" s="116" t="str">
        <f ca="1">IF(ROWS($1:27)&gt;COUNT(Dong1),"",IF(OFFSET(TH!L$1,SMALL(Dong1,ROWS($1:27)),)="1111",OFFSET(TH!D$1,SMALL(Dong1,ROWS($1:27)),),""))</f>
        <v/>
      </c>
      <c r="D40" s="117" t="str">
        <f ca="1">IF(ROWS($1:27)&gt;COUNT(Dong1),"",IF(OFFSET(TH!M$1,SMALL(Dong1,ROWS($1:27)),)="1111",OFFSET(TH!D$1,SMALL(Dong1,ROWS($1:27)),),""))</f>
        <v>C14</v>
      </c>
      <c r="E40" s="216" t="str">
        <f ca="1">IF(ROWS($1:27)&gt;COUNT(Dong1),"",OFFSET(TH!F$1,SMALL(Dong1,ROWS($1:27)),))</f>
        <v>Thuế GTGT hàng sản xuất</v>
      </c>
      <c r="F40" s="119" t="str">
        <f ca="1">IF(ROWS($1:27)&gt;COUNT(Dong1),"",IF(OFFSET(TH!M$1,SMALL(Dong1,ROWS($1:27)),)="1111",OFFSET(TH!L$1,SMALL(Dong1,ROWS($1:27)),),OFFSET(TH!M$1,SMALL(Dong1,ROWS($1:27)),)))</f>
        <v>3388</v>
      </c>
      <c r="G40" s="120">
        <f ca="1">IF(ROWS($1:27)&gt;COUNT(Dong1),"",IF(OFFSET(TH!L$1,SMALL(Dong1,ROWS($1:27)),)="1111",OFFSET(TH!K$1,SMALL(Dong1,ROWS($1:27)),),0))</f>
        <v>0</v>
      </c>
      <c r="H40" s="118">
        <f ca="1">IF(ROWS($1:27)&gt;COUNT(Dong1),"",IF(OFFSET(TH!M$1,SMALL(Dong1,ROWS($1:27)),)="1111",OFFSET(TH!K$1,SMALL(Dong1,ROWS($1:27)),),0))</f>
        <v>505710</v>
      </c>
      <c r="I40" s="116">
        <f t="shared" ca="1" si="0"/>
        <v>2487065037</v>
      </c>
      <c r="J40" s="121"/>
      <c r="N40" s="535"/>
      <c r="O40" s="535"/>
    </row>
    <row r="41" spans="1:15" ht="21.75" customHeight="1">
      <c r="A41" s="115">
        <f ca="1">IF(ROWS($1:28)&gt;COUNT(Dong1),"",OFFSET(TH!C$1,SMALL(Dong1,ROWS($1:28)),))</f>
        <v>41228</v>
      </c>
      <c r="B41" s="115">
        <f ca="1">IF(ROWS($1:28)&gt;COUNT(Dong1),"",OFFSET(TH!E$1,SMALL(Dong1,ROWS($1:28)),))</f>
        <v>41228</v>
      </c>
      <c r="C41" s="116" t="str">
        <f ca="1">IF(ROWS($1:28)&gt;COUNT(Dong1),"",IF(OFFSET(TH!L$1,SMALL(Dong1,ROWS($1:28)),)="1111",OFFSET(TH!D$1,SMALL(Dong1,ROWS($1:28)),),""))</f>
        <v/>
      </c>
      <c r="D41" s="117" t="str">
        <f ca="1">IF(ROWS($1:28)&gt;COUNT(Dong1),"",IF(OFFSET(TH!M$1,SMALL(Dong1,ROWS($1:28)),)="1111",OFFSET(TH!D$1,SMALL(Dong1,ROWS($1:28)),),""))</f>
        <v>C15</v>
      </c>
      <c r="E41" s="216" t="str">
        <f ca="1">IF(ROWS($1:28)&gt;COUNT(Dong1),"",OFFSET(TH!F$1,SMALL(Dong1,ROWS($1:28)),))</f>
        <v>Thanh toán tiền điện</v>
      </c>
      <c r="F41" s="119" t="str">
        <f ca="1">IF(ROWS($1:28)&gt;COUNT(Dong1),"",IF(OFFSET(TH!M$1,SMALL(Dong1,ROWS($1:28)),)="1111",OFFSET(TH!L$1,SMALL(Dong1,ROWS($1:28)),),OFFSET(TH!M$1,SMALL(Dong1,ROWS($1:28)),)))</f>
        <v>642</v>
      </c>
      <c r="G41" s="120">
        <f ca="1">IF(ROWS($1:28)&gt;COUNT(Dong1),"",IF(OFFSET(TH!L$1,SMALL(Dong1,ROWS($1:28)),)="1111",OFFSET(TH!K$1,SMALL(Dong1,ROWS($1:28)),),0))</f>
        <v>0</v>
      </c>
      <c r="H41" s="118">
        <f ca="1">IF(ROWS($1:28)&gt;COUNT(Dong1),"",IF(OFFSET(TH!M$1,SMALL(Dong1,ROWS($1:28)),)="1111",OFFSET(TH!K$1,SMALL(Dong1,ROWS($1:28)),),0))</f>
        <v>809283</v>
      </c>
      <c r="I41" s="116">
        <f t="shared" ca="1" si="0"/>
        <v>2486255754</v>
      </c>
      <c r="J41" s="121"/>
      <c r="N41" s="535"/>
      <c r="O41" s="535"/>
    </row>
    <row r="42" spans="1:15" ht="21.75" customHeight="1">
      <c r="A42" s="115">
        <f ca="1">IF(ROWS($1:29)&gt;COUNT(Dong1),"",OFFSET(TH!C$1,SMALL(Dong1,ROWS($1:29)),))</f>
        <v>41228</v>
      </c>
      <c r="B42" s="115">
        <f ca="1">IF(ROWS($1:29)&gt;COUNT(Dong1),"",OFFSET(TH!E$1,SMALL(Dong1,ROWS($1:29)),))</f>
        <v>41228</v>
      </c>
      <c r="C42" s="116" t="str">
        <f ca="1">IF(ROWS($1:29)&gt;COUNT(Dong1),"",IF(OFFSET(TH!L$1,SMALL(Dong1,ROWS($1:29)),)="1111",OFFSET(TH!D$1,SMALL(Dong1,ROWS($1:29)),),""))</f>
        <v/>
      </c>
      <c r="D42" s="117" t="str">
        <f ca="1">IF(ROWS($1:29)&gt;COUNT(Dong1),"",IF(OFFSET(TH!M$1,SMALL(Dong1,ROWS($1:29)),)="1111",OFFSET(TH!D$1,SMALL(Dong1,ROWS($1:29)),),""))</f>
        <v>C15</v>
      </c>
      <c r="E42" s="216" t="str">
        <f ca="1">IF(ROWS($1:29)&gt;COUNT(Dong1),"",OFFSET(TH!F$1,SMALL(Dong1,ROWS($1:29)),))</f>
        <v>VAT Thanh toán tiền điện</v>
      </c>
      <c r="F42" s="119" t="str">
        <f ca="1">IF(ROWS($1:29)&gt;COUNT(Dong1),"",IF(OFFSET(TH!M$1,SMALL(Dong1,ROWS($1:29)),)="1111",OFFSET(TH!L$1,SMALL(Dong1,ROWS($1:29)),),OFFSET(TH!M$1,SMALL(Dong1,ROWS($1:29)),)))</f>
        <v>642</v>
      </c>
      <c r="G42" s="120">
        <f ca="1">IF(ROWS($1:29)&gt;COUNT(Dong1),"",IF(OFFSET(TH!L$1,SMALL(Dong1,ROWS($1:29)),)="1111",OFFSET(TH!K$1,SMALL(Dong1,ROWS($1:29)),),0))</f>
        <v>0</v>
      </c>
      <c r="H42" s="118">
        <f ca="1">IF(ROWS($1:29)&gt;COUNT(Dong1),"",IF(OFFSET(TH!M$1,SMALL(Dong1,ROWS($1:29)),)="1111",OFFSET(TH!K$1,SMALL(Dong1,ROWS($1:29)),),0))</f>
        <v>80929</v>
      </c>
      <c r="I42" s="116">
        <f t="shared" ca="1" si="0"/>
        <v>2486174825</v>
      </c>
      <c r="J42" s="121"/>
      <c r="N42" s="535"/>
      <c r="O42" s="535"/>
    </row>
    <row r="43" spans="1:15" ht="21.75" customHeight="1">
      <c r="A43" s="115">
        <f ca="1">IF(ROWS($1:30)&gt;COUNT(Dong1),"",OFFSET(TH!C$1,SMALL(Dong1,ROWS($1:30)),))</f>
        <v>41229</v>
      </c>
      <c r="B43" s="115">
        <f ca="1">IF(ROWS($1:30)&gt;COUNT(Dong1),"",OFFSET(TH!E$1,SMALL(Dong1,ROWS($1:30)),))</f>
        <v>41229</v>
      </c>
      <c r="C43" s="116" t="str">
        <f ca="1">IF(ROWS($1:30)&gt;COUNT(Dong1),"",IF(OFFSET(TH!L$1,SMALL(Dong1,ROWS($1:30)),)="1111",OFFSET(TH!D$1,SMALL(Dong1,ROWS($1:30)),),""))</f>
        <v>T10</v>
      </c>
      <c r="D43" s="117" t="str">
        <f ca="1">IF(ROWS($1:30)&gt;COUNT(Dong1),"",IF(OFFSET(TH!M$1,SMALL(Dong1,ROWS($1:30)),)="1111",OFFSET(TH!D$1,SMALL(Dong1,ROWS($1:30)),),""))</f>
        <v/>
      </c>
      <c r="E43" s="216" t="str">
        <f ca="1">IF(ROWS($1:30)&gt;COUNT(Dong1),"",OFFSET(TH!F$1,SMALL(Dong1,ROWS($1:30)),))</f>
        <v>Thu tiền hàng</v>
      </c>
      <c r="F43" s="119" t="str">
        <f ca="1">IF(ROWS($1:30)&gt;COUNT(Dong1),"",IF(OFFSET(TH!M$1,SMALL(Dong1,ROWS($1:30)),)="1111",OFFSET(TH!L$1,SMALL(Dong1,ROWS($1:30)),),OFFSET(TH!M$1,SMALL(Dong1,ROWS($1:30)),)))</f>
        <v>131</v>
      </c>
      <c r="G43" s="120">
        <f ca="1">IF(ROWS($1:30)&gt;COUNT(Dong1),"",IF(OFFSET(TH!L$1,SMALL(Dong1,ROWS($1:30)),)="1111",OFFSET(TH!K$1,SMALL(Dong1,ROWS($1:30)),),0))</f>
        <v>6820000</v>
      </c>
      <c r="H43" s="118">
        <f ca="1">IF(ROWS($1:30)&gt;COUNT(Dong1),"",IF(OFFSET(TH!M$1,SMALL(Dong1,ROWS($1:30)),)="1111",OFFSET(TH!K$1,SMALL(Dong1,ROWS($1:30)),),0))</f>
        <v>0</v>
      </c>
      <c r="I43" s="116">
        <f t="shared" ca="1" si="0"/>
        <v>2492994825</v>
      </c>
      <c r="J43" s="121"/>
      <c r="N43" s="535"/>
      <c r="O43" s="535"/>
    </row>
    <row r="44" spans="1:15" ht="21.75" customHeight="1">
      <c r="A44" s="115">
        <f ca="1">IF(ROWS($1:31)&gt;COUNT(Dong1),"",OFFSET(TH!C$1,SMALL(Dong1,ROWS($1:31)),))</f>
        <v>41230</v>
      </c>
      <c r="B44" s="115">
        <f ca="1">IF(ROWS($1:31)&gt;COUNT(Dong1),"",OFFSET(TH!E$1,SMALL(Dong1,ROWS($1:31)),))</f>
        <v>41230</v>
      </c>
      <c r="C44" s="116" t="str">
        <f ca="1">IF(ROWS($1:31)&gt;COUNT(Dong1),"",IF(OFFSET(TH!L$1,SMALL(Dong1,ROWS($1:31)),)="1111",OFFSET(TH!D$1,SMALL(Dong1,ROWS($1:31)),),""))</f>
        <v/>
      </c>
      <c r="D44" s="117" t="str">
        <f ca="1">IF(ROWS($1:31)&gt;COUNT(Dong1),"",IF(OFFSET(TH!M$1,SMALL(Dong1,ROWS($1:31)),)="1111",OFFSET(TH!D$1,SMALL(Dong1,ROWS($1:31)),),""))</f>
        <v>C16</v>
      </c>
      <c r="E44" s="216" t="str">
        <f ca="1">IF(ROWS($1:31)&gt;COUNT(Dong1),"",OFFSET(TH!F$1,SMALL(Dong1,ROWS($1:31)),))</f>
        <v>Thanh toán tiền hàng</v>
      </c>
      <c r="F44" s="119" t="str">
        <f ca="1">IF(ROWS($1:31)&gt;COUNT(Dong1),"",IF(OFFSET(TH!M$1,SMALL(Dong1,ROWS($1:31)),)="1111",OFFSET(TH!L$1,SMALL(Dong1,ROWS($1:31)),),OFFSET(TH!M$1,SMALL(Dong1,ROWS($1:31)),)))</f>
        <v>331</v>
      </c>
      <c r="G44" s="120">
        <f ca="1">IF(ROWS($1:31)&gt;COUNT(Dong1),"",IF(OFFSET(TH!L$1,SMALL(Dong1,ROWS($1:31)),)="1111",OFFSET(TH!K$1,SMALL(Dong1,ROWS($1:31)),),0))</f>
        <v>0</v>
      </c>
      <c r="H44" s="118">
        <f ca="1">IF(ROWS($1:31)&gt;COUNT(Dong1),"",IF(OFFSET(TH!M$1,SMALL(Dong1,ROWS($1:31)),)="1111",OFFSET(TH!K$1,SMALL(Dong1,ROWS($1:31)),),0))</f>
        <v>18991665</v>
      </c>
      <c r="I44" s="116">
        <f t="shared" ca="1" si="0"/>
        <v>2474003160</v>
      </c>
      <c r="J44" s="121"/>
      <c r="N44" s="535"/>
      <c r="O44" s="535"/>
    </row>
    <row r="45" spans="1:15" ht="21.75" customHeight="1">
      <c r="A45" s="115">
        <f ca="1">IF(ROWS($1:32)&gt;COUNT(Dong1),"",OFFSET(TH!C$1,SMALL(Dong1,ROWS($1:32)),))</f>
        <v>41233</v>
      </c>
      <c r="B45" s="115">
        <f ca="1">IF(ROWS($1:32)&gt;COUNT(Dong1),"",OFFSET(TH!E$1,SMALL(Dong1,ROWS($1:32)),))</f>
        <v>41233</v>
      </c>
      <c r="C45" s="116" t="str">
        <f ca="1">IF(ROWS($1:32)&gt;COUNT(Dong1),"",IF(OFFSET(TH!L$1,SMALL(Dong1,ROWS($1:32)),)="1111",OFFSET(TH!D$1,SMALL(Dong1,ROWS($1:32)),),""))</f>
        <v/>
      </c>
      <c r="D45" s="117" t="str">
        <f ca="1">IF(ROWS($1:32)&gt;COUNT(Dong1),"",IF(OFFSET(TH!M$1,SMALL(Dong1,ROWS($1:32)),)="1111",OFFSET(TH!D$1,SMALL(Dong1,ROWS($1:32)),),""))</f>
        <v>C17</v>
      </c>
      <c r="E45" s="216" t="str">
        <f ca="1">IF(ROWS($1:32)&gt;COUNT(Dong1),"",OFFSET(TH!F$1,SMALL(Dong1,ROWS($1:32)),))</f>
        <v>Thanh toán tiền viễn thông</v>
      </c>
      <c r="F45" s="119" t="str">
        <f ca="1">IF(ROWS($1:32)&gt;COUNT(Dong1),"",IF(OFFSET(TH!M$1,SMALL(Dong1,ROWS($1:32)),)="1111",OFFSET(TH!L$1,SMALL(Dong1,ROWS($1:32)),),OFFSET(TH!M$1,SMALL(Dong1,ROWS($1:32)),)))</f>
        <v>642</v>
      </c>
      <c r="G45" s="120">
        <f ca="1">IF(ROWS($1:32)&gt;COUNT(Dong1),"",IF(OFFSET(TH!L$1,SMALL(Dong1,ROWS($1:32)),)="1111",OFFSET(TH!K$1,SMALL(Dong1,ROWS($1:32)),),0))</f>
        <v>0</v>
      </c>
      <c r="H45" s="118">
        <f ca="1">IF(ROWS($1:32)&gt;COUNT(Dong1),"",IF(OFFSET(TH!M$1,SMALL(Dong1,ROWS($1:32)),)="1111",OFFSET(TH!K$1,SMALL(Dong1,ROWS($1:32)),),0))</f>
        <v>254545</v>
      </c>
      <c r="I45" s="116">
        <f t="shared" ca="1" si="0"/>
        <v>2473748615</v>
      </c>
      <c r="J45" s="121"/>
      <c r="N45" s="535"/>
      <c r="O45" s="535"/>
    </row>
    <row r="46" spans="1:15" ht="21.75" customHeight="1">
      <c r="A46" s="115">
        <f ca="1">IF(ROWS($1:33)&gt;COUNT(Dong1),"",OFFSET(TH!C$1,SMALL(Dong1,ROWS($1:33)),))</f>
        <v>41233</v>
      </c>
      <c r="B46" s="115">
        <f ca="1">IF(ROWS($1:33)&gt;COUNT(Dong1),"",OFFSET(TH!E$1,SMALL(Dong1,ROWS($1:33)),))</f>
        <v>41233</v>
      </c>
      <c r="C46" s="116" t="str">
        <f ca="1">IF(ROWS($1:33)&gt;COUNT(Dong1),"",IF(OFFSET(TH!L$1,SMALL(Dong1,ROWS($1:33)),)="1111",OFFSET(TH!D$1,SMALL(Dong1,ROWS($1:33)),),""))</f>
        <v/>
      </c>
      <c r="D46" s="117" t="str">
        <f ca="1">IF(ROWS($1:33)&gt;COUNT(Dong1),"",IF(OFFSET(TH!M$1,SMALL(Dong1,ROWS($1:33)),)="1111",OFFSET(TH!D$1,SMALL(Dong1,ROWS($1:33)),),""))</f>
        <v>C17</v>
      </c>
      <c r="E46" s="216" t="str">
        <f ca="1">IF(ROWS($1:33)&gt;COUNT(Dong1),"",OFFSET(TH!F$1,SMALL(Dong1,ROWS($1:33)),))</f>
        <v>VAT Thanh toán tiền viễn thông</v>
      </c>
      <c r="F46" s="119" t="str">
        <f ca="1">IF(ROWS($1:33)&gt;COUNT(Dong1),"",IF(OFFSET(TH!M$1,SMALL(Dong1,ROWS($1:33)),)="1111",OFFSET(TH!L$1,SMALL(Dong1,ROWS($1:33)),),OFFSET(TH!M$1,SMALL(Dong1,ROWS($1:33)),)))</f>
        <v>1331</v>
      </c>
      <c r="G46" s="120">
        <f ca="1">IF(ROWS($1:33)&gt;COUNT(Dong1),"",IF(OFFSET(TH!L$1,SMALL(Dong1,ROWS($1:33)),)="1111",OFFSET(TH!K$1,SMALL(Dong1,ROWS($1:33)),),0))</f>
        <v>0</v>
      </c>
      <c r="H46" s="118">
        <f ca="1">IF(ROWS($1:33)&gt;COUNT(Dong1),"",IF(OFFSET(TH!M$1,SMALL(Dong1,ROWS($1:33)),)="1111",OFFSET(TH!K$1,SMALL(Dong1,ROWS($1:33)),),0))</f>
        <v>25455</v>
      </c>
      <c r="I46" s="116">
        <f t="shared" ca="1" si="0"/>
        <v>2473723160</v>
      </c>
      <c r="J46" s="121"/>
      <c r="N46" s="535"/>
      <c r="O46" s="535"/>
    </row>
    <row r="47" spans="1:15" ht="21.75" customHeight="1">
      <c r="A47" s="115">
        <f ca="1">IF(ROWS($1:34)&gt;COUNT(Dong1),"",OFFSET(TH!C$1,SMALL(Dong1,ROWS($1:34)),))</f>
        <v>41235</v>
      </c>
      <c r="B47" s="115">
        <f ca="1">IF(ROWS($1:34)&gt;COUNT(Dong1),"",OFFSET(TH!E$1,SMALL(Dong1,ROWS($1:34)),))</f>
        <v>41235</v>
      </c>
      <c r="C47" s="116" t="str">
        <f ca="1">IF(ROWS($1:34)&gt;COUNT(Dong1),"",IF(OFFSET(TH!L$1,SMALL(Dong1,ROWS($1:34)),)="1111",OFFSET(TH!D$1,SMALL(Dong1,ROWS($1:34)),),""))</f>
        <v/>
      </c>
      <c r="D47" s="117" t="str">
        <f ca="1">IF(ROWS($1:34)&gt;COUNT(Dong1),"",IF(OFFSET(TH!M$1,SMALL(Dong1,ROWS($1:34)),)="1111",OFFSET(TH!D$1,SMALL(Dong1,ROWS($1:34)),),""))</f>
        <v>C18</v>
      </c>
      <c r="E47" s="216" t="str">
        <f ca="1">IF(ROWS($1:34)&gt;COUNT(Dong1),"",OFFSET(TH!F$1,SMALL(Dong1,ROWS($1:34)),))</f>
        <v>Thanh toán tiền hàng</v>
      </c>
      <c r="F47" s="119" t="str">
        <f ca="1">IF(ROWS($1:34)&gt;COUNT(Dong1),"",IF(OFFSET(TH!M$1,SMALL(Dong1,ROWS($1:34)),)="1111",OFFSET(TH!L$1,SMALL(Dong1,ROWS($1:34)),),OFFSET(TH!M$1,SMALL(Dong1,ROWS($1:34)),)))</f>
        <v>331</v>
      </c>
      <c r="G47" s="120">
        <f ca="1">IF(ROWS($1:34)&gt;COUNT(Dong1),"",IF(OFFSET(TH!L$1,SMALL(Dong1,ROWS($1:34)),)="1111",OFFSET(TH!K$1,SMALL(Dong1,ROWS($1:34)),),0))</f>
        <v>0</v>
      </c>
      <c r="H47" s="118">
        <f ca="1">IF(ROWS($1:34)&gt;COUNT(Dong1),"",IF(OFFSET(TH!M$1,SMALL(Dong1,ROWS($1:34)),)="1111",OFFSET(TH!K$1,SMALL(Dong1,ROWS($1:34)),),0))</f>
        <v>17016560</v>
      </c>
      <c r="I47" s="116">
        <f t="shared" ca="1" si="0"/>
        <v>2456706600</v>
      </c>
      <c r="J47" s="121"/>
      <c r="N47" s="535"/>
      <c r="O47" s="535"/>
    </row>
    <row r="48" spans="1:15" ht="21.75" customHeight="1">
      <c r="A48" s="115">
        <f ca="1">IF(ROWS($1:35)&gt;COUNT(Dong1),"",OFFSET(TH!C$1,SMALL(Dong1,ROWS($1:35)),))</f>
        <v>41236</v>
      </c>
      <c r="B48" s="115">
        <f ca="1">IF(ROWS($1:35)&gt;COUNT(Dong1),"",OFFSET(TH!E$1,SMALL(Dong1,ROWS($1:35)),))</f>
        <v>41236</v>
      </c>
      <c r="C48" s="116" t="str">
        <f ca="1">IF(ROWS($1:35)&gt;COUNT(Dong1),"",IF(OFFSET(TH!L$1,SMALL(Dong1,ROWS($1:35)),)="1111",OFFSET(TH!D$1,SMALL(Dong1,ROWS($1:35)),),""))</f>
        <v>T11</v>
      </c>
      <c r="D48" s="117" t="str">
        <f ca="1">IF(ROWS($1:35)&gt;COUNT(Dong1),"",IF(OFFSET(TH!M$1,SMALL(Dong1,ROWS($1:35)),)="1111",OFFSET(TH!D$1,SMALL(Dong1,ROWS($1:35)),),""))</f>
        <v/>
      </c>
      <c r="E48" s="216" t="str">
        <f ca="1">IF(ROWS($1:35)&gt;COUNT(Dong1),"",OFFSET(TH!F$1,SMALL(Dong1,ROWS($1:35)),))</f>
        <v>Rút sec nhập quỹ tiền mặt</v>
      </c>
      <c r="F48" s="119" t="str">
        <f ca="1">IF(ROWS($1:35)&gt;COUNT(Dong1),"",IF(OFFSET(TH!M$1,SMALL(Dong1,ROWS($1:35)),)="1111",OFFSET(TH!L$1,SMALL(Dong1,ROWS($1:35)),),OFFSET(TH!M$1,SMALL(Dong1,ROWS($1:35)),)))</f>
        <v>1121</v>
      </c>
      <c r="G48" s="120">
        <f ca="1">IF(ROWS($1:35)&gt;COUNT(Dong1),"",IF(OFFSET(TH!L$1,SMALL(Dong1,ROWS($1:35)),)="1111",OFFSET(TH!K$1,SMALL(Dong1,ROWS($1:35)),),0))</f>
        <v>7500000</v>
      </c>
      <c r="H48" s="118">
        <f ca="1">IF(ROWS($1:35)&gt;COUNT(Dong1),"",IF(OFFSET(TH!M$1,SMALL(Dong1,ROWS($1:35)),)="1111",OFFSET(TH!K$1,SMALL(Dong1,ROWS($1:35)),),0))</f>
        <v>0</v>
      </c>
      <c r="I48" s="116">
        <f t="shared" ca="1" si="0"/>
        <v>2464206600</v>
      </c>
      <c r="J48" s="121"/>
      <c r="N48" s="535"/>
      <c r="O48" s="535"/>
    </row>
    <row r="49" spans="1:15" ht="21.75" customHeight="1">
      <c r="A49" s="115">
        <f ca="1">IF(ROWS($1:36)&gt;COUNT(Dong1),"",OFFSET(TH!C$1,SMALL(Dong1,ROWS($1:36)),))</f>
        <v>41236</v>
      </c>
      <c r="B49" s="115">
        <f ca="1">IF(ROWS($1:36)&gt;COUNT(Dong1),"",OFFSET(TH!E$1,SMALL(Dong1,ROWS($1:36)),))</f>
        <v>41236</v>
      </c>
      <c r="C49" s="116" t="str">
        <f ca="1">IF(ROWS($1:36)&gt;COUNT(Dong1),"",IF(OFFSET(TH!L$1,SMALL(Dong1,ROWS($1:36)),)="1111",OFFSET(TH!D$1,SMALL(Dong1,ROWS($1:36)),),""))</f>
        <v>T12</v>
      </c>
      <c r="D49" s="117" t="str">
        <f ca="1">IF(ROWS($1:36)&gt;COUNT(Dong1),"",IF(OFFSET(TH!M$1,SMALL(Dong1,ROWS($1:36)),)="1111",OFFSET(TH!D$1,SMALL(Dong1,ROWS($1:36)),),""))</f>
        <v/>
      </c>
      <c r="E49" s="216" t="str">
        <f ca="1">IF(ROWS($1:36)&gt;COUNT(Dong1),"",OFFSET(TH!F$1,SMALL(Dong1,ROWS($1:36)),))</f>
        <v>Thu tiền hàng</v>
      </c>
      <c r="F49" s="119" t="str">
        <f ca="1">IF(ROWS($1:36)&gt;COUNT(Dong1),"",IF(OFFSET(TH!M$1,SMALL(Dong1,ROWS($1:36)),)="1111",OFFSET(TH!L$1,SMALL(Dong1,ROWS($1:36)),),OFFSET(TH!M$1,SMALL(Dong1,ROWS($1:36)),)))</f>
        <v>131</v>
      </c>
      <c r="G49" s="120">
        <f ca="1">IF(ROWS($1:36)&gt;COUNT(Dong1),"",IF(OFFSET(TH!L$1,SMALL(Dong1,ROWS($1:36)),)="1111",OFFSET(TH!K$1,SMALL(Dong1,ROWS($1:36)),),0))</f>
        <v>14969460</v>
      </c>
      <c r="H49" s="118">
        <f ca="1">IF(ROWS($1:36)&gt;COUNT(Dong1),"",IF(OFFSET(TH!M$1,SMALL(Dong1,ROWS($1:36)),)="1111",OFFSET(TH!K$1,SMALL(Dong1,ROWS($1:36)),),0))</f>
        <v>0</v>
      </c>
      <c r="I49" s="116">
        <f t="shared" ca="1" si="0"/>
        <v>2479176060</v>
      </c>
      <c r="J49" s="121"/>
      <c r="N49" s="535"/>
      <c r="O49" s="535"/>
    </row>
    <row r="50" spans="1:15" ht="21.75" customHeight="1">
      <c r="A50" s="115">
        <f ca="1">IF(ROWS($1:37)&gt;COUNT(Dong1),"",OFFSET(TH!C$1,SMALL(Dong1,ROWS($1:37)),))</f>
        <v>41237</v>
      </c>
      <c r="B50" s="115">
        <f ca="1">IF(ROWS($1:37)&gt;COUNT(Dong1),"",OFFSET(TH!E$1,SMALL(Dong1,ROWS($1:37)),))</f>
        <v>41237</v>
      </c>
      <c r="C50" s="116" t="str">
        <f ca="1">IF(ROWS($1:37)&gt;COUNT(Dong1),"",IF(OFFSET(TH!L$1,SMALL(Dong1,ROWS($1:37)),)="1111",OFFSET(TH!D$1,SMALL(Dong1,ROWS($1:37)),),""))</f>
        <v/>
      </c>
      <c r="D50" s="117" t="str">
        <f ca="1">IF(ROWS($1:37)&gt;COUNT(Dong1),"",IF(OFFSET(TH!M$1,SMALL(Dong1,ROWS($1:37)),)="1111",OFFSET(TH!D$1,SMALL(Dong1,ROWS($1:37)),),""))</f>
        <v>C19</v>
      </c>
      <c r="E50" s="216" t="str">
        <f ca="1">IF(ROWS($1:37)&gt;COUNT(Dong1),"",OFFSET(TH!F$1,SMALL(Dong1,ROWS($1:37)),))</f>
        <v>Thanh toán tiền hàng</v>
      </c>
      <c r="F50" s="119" t="str">
        <f ca="1">IF(ROWS($1:37)&gt;COUNT(Dong1),"",IF(OFFSET(TH!M$1,SMALL(Dong1,ROWS($1:37)),)="1111",OFFSET(TH!L$1,SMALL(Dong1,ROWS($1:37)),),OFFSET(TH!M$1,SMALL(Dong1,ROWS($1:37)),)))</f>
        <v>331</v>
      </c>
      <c r="G50" s="120">
        <f ca="1">IF(ROWS($1:37)&gt;COUNT(Dong1),"",IF(OFFSET(TH!L$1,SMALL(Dong1,ROWS($1:37)),)="1111",OFFSET(TH!K$1,SMALL(Dong1,ROWS($1:37)),),0))</f>
        <v>0</v>
      </c>
      <c r="H50" s="118">
        <f ca="1">IF(ROWS($1:37)&gt;COUNT(Dong1),"",IF(OFFSET(TH!M$1,SMALL(Dong1,ROWS($1:37)),)="1111",OFFSET(TH!K$1,SMALL(Dong1,ROWS($1:37)),),0))</f>
        <v>7864859</v>
      </c>
      <c r="I50" s="116">
        <f t="shared" ref="I50:I65" ca="1" si="1">IF(E50&lt;&gt;"",I49+G50-H50,0)</f>
        <v>2471311201</v>
      </c>
      <c r="J50" s="121"/>
      <c r="N50" s="535"/>
      <c r="O50" s="535"/>
    </row>
    <row r="51" spans="1:15" ht="21.75" customHeight="1">
      <c r="A51" s="115">
        <f ca="1">IF(ROWS($1:38)&gt;COUNT(Dong1),"",OFFSET(TH!C$1,SMALL(Dong1,ROWS($1:38)),))</f>
        <v>41237</v>
      </c>
      <c r="B51" s="115">
        <f ca="1">IF(ROWS($1:38)&gt;COUNT(Dong1),"",OFFSET(TH!E$1,SMALL(Dong1,ROWS($1:38)),))</f>
        <v>41237</v>
      </c>
      <c r="C51" s="116" t="str">
        <f ca="1">IF(ROWS($1:38)&gt;COUNT(Dong1),"",IF(OFFSET(TH!L$1,SMALL(Dong1,ROWS($1:38)),)="1111",OFFSET(TH!D$1,SMALL(Dong1,ROWS($1:38)),),""))</f>
        <v/>
      </c>
      <c r="D51" s="117" t="str">
        <f ca="1">IF(ROWS($1:38)&gt;COUNT(Dong1),"",IF(OFFSET(TH!M$1,SMALL(Dong1,ROWS($1:38)),)="1111",OFFSET(TH!D$1,SMALL(Dong1,ROWS($1:38)),),""))</f>
        <v>C20</v>
      </c>
      <c r="E51" s="216" t="str">
        <f ca="1">IF(ROWS($1:38)&gt;COUNT(Dong1),"",OFFSET(TH!F$1,SMALL(Dong1,ROWS($1:38)),))</f>
        <v>Dây mạ kẽm</v>
      </c>
      <c r="F51" s="119" t="str">
        <f ca="1">IF(ROWS($1:38)&gt;COUNT(Dong1),"",IF(OFFSET(TH!M$1,SMALL(Dong1,ROWS($1:38)),)="1111",OFFSET(TH!L$1,SMALL(Dong1,ROWS($1:38)),),OFFSET(TH!M$1,SMALL(Dong1,ROWS($1:38)),)))</f>
        <v>154</v>
      </c>
      <c r="G51" s="120">
        <f ca="1">IF(ROWS($1:38)&gt;COUNT(Dong1),"",IF(OFFSET(TH!L$1,SMALL(Dong1,ROWS($1:38)),)="1111",OFFSET(TH!K$1,SMALL(Dong1,ROWS($1:38)),),0))</f>
        <v>0</v>
      </c>
      <c r="H51" s="118">
        <f ca="1">IF(ROWS($1:38)&gt;COUNT(Dong1),"",IF(OFFSET(TH!M$1,SMALL(Dong1,ROWS($1:38)),)="1111",OFFSET(TH!K$1,SMALL(Dong1,ROWS($1:38)),),0))</f>
        <v>2520000</v>
      </c>
      <c r="I51" s="116">
        <f t="shared" ca="1" si="1"/>
        <v>2468791201</v>
      </c>
      <c r="J51" s="121"/>
      <c r="N51" s="535"/>
      <c r="O51" s="535"/>
    </row>
    <row r="52" spans="1:15" ht="21.75" customHeight="1">
      <c r="A52" s="115">
        <f ca="1">IF(ROWS($1:39)&gt;COUNT(Dong1),"",OFFSET(TH!C$1,SMALL(Dong1,ROWS($1:39)),))</f>
        <v>41237</v>
      </c>
      <c r="B52" s="115">
        <f ca="1">IF(ROWS($1:39)&gt;COUNT(Dong1),"",OFFSET(TH!E$1,SMALL(Dong1,ROWS($1:39)),))</f>
        <v>41237</v>
      </c>
      <c r="C52" s="116" t="str">
        <f ca="1">IF(ROWS($1:39)&gt;COUNT(Dong1),"",IF(OFFSET(TH!L$1,SMALL(Dong1,ROWS($1:39)),)="1111",OFFSET(TH!D$1,SMALL(Dong1,ROWS($1:39)),),""))</f>
        <v/>
      </c>
      <c r="D52" s="117" t="str">
        <f ca="1">IF(ROWS($1:39)&gt;COUNT(Dong1),"",IF(OFFSET(TH!M$1,SMALL(Dong1,ROWS($1:39)),)="1111",OFFSET(TH!D$1,SMALL(Dong1,ROWS($1:39)),),""))</f>
        <v>C20</v>
      </c>
      <c r="E52" s="216" t="str">
        <f ca="1">IF(ROWS($1:39)&gt;COUNT(Dong1),"",OFFSET(TH!F$1,SMALL(Dong1,ROWS($1:39)),))</f>
        <v>VAT Dây mạ kẽm</v>
      </c>
      <c r="F52" s="119" t="str">
        <f ca="1">IF(ROWS($1:39)&gt;COUNT(Dong1),"",IF(OFFSET(TH!M$1,SMALL(Dong1,ROWS($1:39)),)="1111",OFFSET(TH!L$1,SMALL(Dong1,ROWS($1:39)),),OFFSET(TH!M$1,SMALL(Dong1,ROWS($1:39)),)))</f>
        <v>1331</v>
      </c>
      <c r="G52" s="120">
        <f ca="1">IF(ROWS($1:39)&gt;COUNT(Dong1),"",IF(OFFSET(TH!L$1,SMALL(Dong1,ROWS($1:39)),)="1111",OFFSET(TH!K$1,SMALL(Dong1,ROWS($1:39)),),0))</f>
        <v>0</v>
      </c>
      <c r="H52" s="118">
        <f ca="1">IF(ROWS($1:39)&gt;COUNT(Dong1),"",IF(OFFSET(TH!M$1,SMALL(Dong1,ROWS($1:39)),)="1111",OFFSET(TH!K$1,SMALL(Dong1,ROWS($1:39)),),0))</f>
        <v>252000</v>
      </c>
      <c r="I52" s="116">
        <f t="shared" ca="1" si="1"/>
        <v>2468539201</v>
      </c>
      <c r="J52" s="121"/>
      <c r="N52" s="535"/>
      <c r="O52" s="535"/>
    </row>
    <row r="53" spans="1:15" ht="21.75" customHeight="1">
      <c r="A53" s="115">
        <f ca="1">IF(ROWS($1:40)&gt;COUNT(Dong1),"",OFFSET(TH!C$1,SMALL(Dong1,ROWS($1:40)),))</f>
        <v>41240</v>
      </c>
      <c r="B53" s="115">
        <f ca="1">IF(ROWS($1:40)&gt;COUNT(Dong1),"",OFFSET(TH!E$1,SMALL(Dong1,ROWS($1:40)),))</f>
        <v>41240</v>
      </c>
      <c r="C53" s="116" t="str">
        <f ca="1">IF(ROWS($1:40)&gt;COUNT(Dong1),"",IF(OFFSET(TH!L$1,SMALL(Dong1,ROWS($1:40)),)="1111",OFFSET(TH!D$1,SMALL(Dong1,ROWS($1:40)),),""))</f>
        <v>T13</v>
      </c>
      <c r="D53" s="117" t="str">
        <f ca="1">IF(ROWS($1:40)&gt;COUNT(Dong1),"",IF(OFFSET(TH!M$1,SMALL(Dong1,ROWS($1:40)),)="1111",OFFSET(TH!D$1,SMALL(Dong1,ROWS($1:40)),),""))</f>
        <v/>
      </c>
      <c r="E53" s="216" t="str">
        <f ca="1">IF(ROWS($1:40)&gt;COUNT(Dong1),"",OFFSET(TH!F$1,SMALL(Dong1,ROWS($1:40)),))</f>
        <v>Thu tiền hàng</v>
      </c>
      <c r="F53" s="119" t="str">
        <f ca="1">IF(ROWS($1:40)&gt;COUNT(Dong1),"",IF(OFFSET(TH!M$1,SMALL(Dong1,ROWS($1:40)),)="1111",OFFSET(TH!L$1,SMALL(Dong1,ROWS($1:40)),),OFFSET(TH!M$1,SMALL(Dong1,ROWS($1:40)),)))</f>
        <v>131</v>
      </c>
      <c r="G53" s="120">
        <f ca="1">IF(ROWS($1:40)&gt;COUNT(Dong1),"",IF(OFFSET(TH!L$1,SMALL(Dong1,ROWS($1:40)),)="1111",OFFSET(TH!K$1,SMALL(Dong1,ROWS($1:40)),),0))</f>
        <v>13395800</v>
      </c>
      <c r="H53" s="118">
        <f ca="1">IF(ROWS($1:40)&gt;COUNT(Dong1),"",IF(OFFSET(TH!M$1,SMALL(Dong1,ROWS($1:40)),)="1111",OFFSET(TH!K$1,SMALL(Dong1,ROWS($1:40)),),0))</f>
        <v>0</v>
      </c>
      <c r="I53" s="116">
        <f t="shared" ca="1" si="1"/>
        <v>2481935001</v>
      </c>
      <c r="J53" s="121"/>
      <c r="N53" s="535"/>
      <c r="O53" s="535"/>
    </row>
    <row r="54" spans="1:15" ht="21.75" customHeight="1">
      <c r="A54" s="115">
        <f ca="1">IF(ROWS($1:41)&gt;COUNT(Dong1),"",OFFSET(TH!C$1,SMALL(Dong1,ROWS($1:41)),))</f>
        <v>41242</v>
      </c>
      <c r="B54" s="115">
        <f ca="1">IF(ROWS($1:41)&gt;COUNT(Dong1),"",OFFSET(TH!E$1,SMALL(Dong1,ROWS($1:41)),))</f>
        <v>41242</v>
      </c>
      <c r="C54" s="116" t="str">
        <f ca="1">IF(ROWS($1:41)&gt;COUNT(Dong1),"",IF(OFFSET(TH!L$1,SMALL(Dong1,ROWS($1:41)),)="1111",OFFSET(TH!D$1,SMALL(Dong1,ROWS($1:41)),),""))</f>
        <v/>
      </c>
      <c r="D54" s="117" t="str">
        <f ca="1">IF(ROWS($1:41)&gt;COUNT(Dong1),"",IF(OFFSET(TH!M$1,SMALL(Dong1,ROWS($1:41)),)="1111",OFFSET(TH!D$1,SMALL(Dong1,ROWS($1:41)),),""))</f>
        <v>C21</v>
      </c>
      <c r="E54" s="216" t="str">
        <f ca="1">IF(ROWS($1:41)&gt;COUNT(Dong1),"",OFFSET(TH!F$1,SMALL(Dong1,ROWS($1:41)),))</f>
        <v>Cước vận chuyển</v>
      </c>
      <c r="F54" s="119" t="str">
        <f ca="1">IF(ROWS($1:41)&gt;COUNT(Dong1),"",IF(OFFSET(TH!M$1,SMALL(Dong1,ROWS($1:41)),)="1111",OFFSET(TH!L$1,SMALL(Dong1,ROWS($1:41)),),OFFSET(TH!M$1,SMALL(Dong1,ROWS($1:41)),)))</f>
        <v>642</v>
      </c>
      <c r="G54" s="120">
        <f ca="1">IF(ROWS($1:41)&gt;COUNT(Dong1),"",IF(OFFSET(TH!L$1,SMALL(Dong1,ROWS($1:41)),)="1111",OFFSET(TH!K$1,SMALL(Dong1,ROWS($1:41)),),0))</f>
        <v>0</v>
      </c>
      <c r="H54" s="118">
        <f ca="1">IF(ROWS($1:41)&gt;COUNT(Dong1),"",IF(OFFSET(TH!M$1,SMALL(Dong1,ROWS($1:41)),)="1111",OFFSET(TH!K$1,SMALL(Dong1,ROWS($1:41)),),0))</f>
        <v>3000000</v>
      </c>
      <c r="I54" s="116">
        <f t="shared" ca="1" si="1"/>
        <v>2478935001</v>
      </c>
      <c r="J54" s="121"/>
      <c r="N54" s="535"/>
      <c r="O54" s="535"/>
    </row>
    <row r="55" spans="1:15" ht="21.75" customHeight="1">
      <c r="A55" s="115">
        <f ca="1">IF(ROWS($1:42)&gt;COUNT(Dong1),"",OFFSET(TH!C$1,SMALL(Dong1,ROWS($1:42)),))</f>
        <v>41242</v>
      </c>
      <c r="B55" s="115">
        <f ca="1">IF(ROWS($1:42)&gt;COUNT(Dong1),"",OFFSET(TH!E$1,SMALL(Dong1,ROWS($1:42)),))</f>
        <v>41242</v>
      </c>
      <c r="C55" s="116" t="str">
        <f ca="1">IF(ROWS($1:42)&gt;COUNT(Dong1),"",IF(OFFSET(TH!L$1,SMALL(Dong1,ROWS($1:42)),)="1111",OFFSET(TH!D$1,SMALL(Dong1,ROWS($1:42)),),""))</f>
        <v/>
      </c>
      <c r="D55" s="117" t="str">
        <f ca="1">IF(ROWS($1:42)&gt;COUNT(Dong1),"",IF(OFFSET(TH!M$1,SMALL(Dong1,ROWS($1:42)),)="1111",OFFSET(TH!D$1,SMALL(Dong1,ROWS($1:42)),),""))</f>
        <v>C21</v>
      </c>
      <c r="E55" s="216" t="str">
        <f ca="1">IF(ROWS($1:42)&gt;COUNT(Dong1),"",OFFSET(TH!F$1,SMALL(Dong1,ROWS($1:42)),))</f>
        <v>VAT Cước vận chuyển</v>
      </c>
      <c r="F55" s="119" t="str">
        <f ca="1">IF(ROWS($1:42)&gt;COUNT(Dong1),"",IF(OFFSET(TH!M$1,SMALL(Dong1,ROWS($1:42)),)="1111",OFFSET(TH!L$1,SMALL(Dong1,ROWS($1:42)),),OFFSET(TH!M$1,SMALL(Dong1,ROWS($1:42)),)))</f>
        <v>1331</v>
      </c>
      <c r="G55" s="120">
        <f ca="1">IF(ROWS($1:42)&gt;COUNT(Dong1),"",IF(OFFSET(TH!L$1,SMALL(Dong1,ROWS($1:42)),)="1111",OFFSET(TH!K$1,SMALL(Dong1,ROWS($1:42)),),0))</f>
        <v>0</v>
      </c>
      <c r="H55" s="118">
        <f ca="1">IF(ROWS($1:42)&gt;COUNT(Dong1),"",IF(OFFSET(TH!M$1,SMALL(Dong1,ROWS($1:42)),)="1111",OFFSET(TH!K$1,SMALL(Dong1,ROWS($1:42)),),0))</f>
        <v>300000</v>
      </c>
      <c r="I55" s="116">
        <f t="shared" ca="1" si="1"/>
        <v>2478635001</v>
      </c>
      <c r="J55" s="121"/>
      <c r="N55" s="535"/>
      <c r="O55" s="535"/>
    </row>
    <row r="56" spans="1:15" ht="21.75" customHeight="1">
      <c r="A56" s="115">
        <f ca="1">IF(ROWS($1:43)&gt;COUNT(Dong1),"",OFFSET(TH!C$1,SMALL(Dong1,ROWS($1:43)),))</f>
        <v>41244</v>
      </c>
      <c r="B56" s="115">
        <f ca="1">IF(ROWS($1:43)&gt;COUNT(Dong1),"",OFFSET(TH!E$1,SMALL(Dong1,ROWS($1:43)),))</f>
        <v>41244</v>
      </c>
      <c r="C56" s="116" t="str">
        <f ca="1">IF(ROWS($1:43)&gt;COUNT(Dong1),"",IF(OFFSET(TH!L$1,SMALL(Dong1,ROWS($1:43)),)="1111",OFFSET(TH!D$1,SMALL(Dong1,ROWS($1:43)),),""))</f>
        <v/>
      </c>
      <c r="D56" s="117" t="str">
        <f ca="1">IF(ROWS($1:43)&gt;COUNT(Dong1),"",IF(OFFSET(TH!M$1,SMALL(Dong1,ROWS($1:43)),)="1111",OFFSET(TH!D$1,SMALL(Dong1,ROWS($1:43)),),""))</f>
        <v>C22</v>
      </c>
      <c r="E56" s="216" t="str">
        <f ca="1">IF(ROWS($1:43)&gt;COUNT(Dong1),"",OFFSET(TH!F$1,SMALL(Dong1,ROWS($1:43)),))</f>
        <v>Khung gỗ, mực in</v>
      </c>
      <c r="F56" s="119" t="str">
        <f ca="1">IF(ROWS($1:43)&gt;COUNT(Dong1),"",IF(OFFSET(TH!M$1,SMALL(Dong1,ROWS($1:43)),)="1111",OFFSET(TH!L$1,SMALL(Dong1,ROWS($1:43)),),OFFSET(TH!M$1,SMALL(Dong1,ROWS($1:43)),)))</f>
        <v>154</v>
      </c>
      <c r="G56" s="120">
        <f ca="1">IF(ROWS($1:43)&gt;COUNT(Dong1),"",IF(OFFSET(TH!L$1,SMALL(Dong1,ROWS($1:43)),)="1111",OFFSET(TH!K$1,SMALL(Dong1,ROWS($1:43)),),0))</f>
        <v>0</v>
      </c>
      <c r="H56" s="118">
        <f ca="1">IF(ROWS($1:43)&gt;COUNT(Dong1),"",IF(OFFSET(TH!M$1,SMALL(Dong1,ROWS($1:43)),)="1111",OFFSET(TH!K$1,SMALL(Dong1,ROWS($1:43)),),0))</f>
        <v>1713000</v>
      </c>
      <c r="I56" s="116">
        <f t="shared" ca="1" si="1"/>
        <v>2476922001</v>
      </c>
      <c r="J56" s="121"/>
      <c r="N56" s="535"/>
      <c r="O56" s="535"/>
    </row>
    <row r="57" spans="1:15" ht="21.75" customHeight="1">
      <c r="A57" s="115">
        <f ca="1">IF(ROWS($1:44)&gt;COUNT(Dong1),"",OFFSET(TH!C$1,SMALL(Dong1,ROWS($1:44)),))</f>
        <v>41246</v>
      </c>
      <c r="B57" s="115">
        <f ca="1">IF(ROWS($1:44)&gt;COUNT(Dong1),"",OFFSET(TH!E$1,SMALL(Dong1,ROWS($1:44)),))</f>
        <v>41246</v>
      </c>
      <c r="C57" s="116" t="str">
        <f ca="1">IF(ROWS($1:44)&gt;COUNT(Dong1),"",IF(OFFSET(TH!L$1,SMALL(Dong1,ROWS($1:44)),)="1111",OFFSET(TH!D$1,SMALL(Dong1,ROWS($1:44)),),""))</f>
        <v/>
      </c>
      <c r="D57" s="117" t="str">
        <f ca="1">IF(ROWS($1:44)&gt;COUNT(Dong1),"",IF(OFFSET(TH!M$1,SMALL(Dong1,ROWS($1:44)),)="1111",OFFSET(TH!D$1,SMALL(Dong1,ROWS($1:44)),),""))</f>
        <v>C23</v>
      </c>
      <c r="E57" s="216" t="str">
        <f ca="1">IF(ROWS($1:44)&gt;COUNT(Dong1),"",OFFSET(TH!F$1,SMALL(Dong1,ROWS($1:44)),))</f>
        <v>Thanh toán tiền hàng</v>
      </c>
      <c r="F57" s="119" t="str">
        <f ca="1">IF(ROWS($1:44)&gt;COUNT(Dong1),"",IF(OFFSET(TH!M$1,SMALL(Dong1,ROWS($1:44)),)="1111",OFFSET(TH!L$1,SMALL(Dong1,ROWS($1:44)),),OFFSET(TH!M$1,SMALL(Dong1,ROWS($1:44)),)))</f>
        <v>331</v>
      </c>
      <c r="G57" s="120">
        <f ca="1">IF(ROWS($1:44)&gt;COUNT(Dong1),"",IF(OFFSET(TH!L$1,SMALL(Dong1,ROWS($1:44)),)="1111",OFFSET(TH!K$1,SMALL(Dong1,ROWS($1:44)),),0))</f>
        <v>0</v>
      </c>
      <c r="H57" s="118">
        <f ca="1">IF(ROWS($1:44)&gt;COUNT(Dong1),"",IF(OFFSET(TH!M$1,SMALL(Dong1,ROWS($1:44)),)="1111",OFFSET(TH!K$1,SMALL(Dong1,ROWS($1:44)),),0))</f>
        <v>14686100</v>
      </c>
      <c r="I57" s="116">
        <f t="shared" ca="1" si="1"/>
        <v>2462235901</v>
      </c>
      <c r="J57" s="121"/>
      <c r="N57" s="535"/>
      <c r="O57" s="535"/>
    </row>
    <row r="58" spans="1:15" ht="21.75" customHeight="1">
      <c r="A58" s="115">
        <f ca="1">IF(ROWS($1:45)&gt;COUNT(Dong1),"",OFFSET(TH!C$1,SMALL(Dong1,ROWS($1:45)),))</f>
        <v>41250</v>
      </c>
      <c r="B58" s="115">
        <f ca="1">IF(ROWS($1:45)&gt;COUNT(Dong1),"",OFFSET(TH!E$1,SMALL(Dong1,ROWS($1:45)),))</f>
        <v>41250</v>
      </c>
      <c r="C58" s="116" t="str">
        <f ca="1">IF(ROWS($1:45)&gt;COUNT(Dong1),"",IF(OFFSET(TH!L$1,SMALL(Dong1,ROWS($1:45)),)="1111",OFFSET(TH!D$1,SMALL(Dong1,ROWS($1:45)),),""))</f>
        <v>T14</v>
      </c>
      <c r="D58" s="117" t="str">
        <f ca="1">IF(ROWS($1:45)&gt;COUNT(Dong1),"",IF(OFFSET(TH!M$1,SMALL(Dong1,ROWS($1:45)),)="1111",OFFSET(TH!D$1,SMALL(Dong1,ROWS($1:45)),),""))</f>
        <v/>
      </c>
      <c r="E58" s="216" t="str">
        <f ca="1">IF(ROWS($1:45)&gt;COUNT(Dong1),"",OFFSET(TH!F$1,SMALL(Dong1,ROWS($1:45)),))</f>
        <v>Rút sec nhập quỹ tiền mặt</v>
      </c>
      <c r="F58" s="119" t="str">
        <f ca="1">IF(ROWS($1:45)&gt;COUNT(Dong1),"",IF(OFFSET(TH!M$1,SMALL(Dong1,ROWS($1:45)),)="1111",OFFSET(TH!L$1,SMALL(Dong1,ROWS($1:45)),),OFFSET(TH!M$1,SMALL(Dong1,ROWS($1:45)),)))</f>
        <v>1121</v>
      </c>
      <c r="G58" s="120">
        <f ca="1">IF(ROWS($1:45)&gt;COUNT(Dong1),"",IF(OFFSET(TH!L$1,SMALL(Dong1,ROWS($1:45)),)="1111",OFFSET(TH!K$1,SMALL(Dong1,ROWS($1:45)),),0))</f>
        <v>8400000</v>
      </c>
      <c r="H58" s="118">
        <f ca="1">IF(ROWS($1:45)&gt;COUNT(Dong1),"",IF(OFFSET(TH!M$1,SMALL(Dong1,ROWS($1:45)),)="1111",OFFSET(TH!K$1,SMALL(Dong1,ROWS($1:45)),),0))</f>
        <v>0</v>
      </c>
      <c r="I58" s="116">
        <f t="shared" ca="1" si="1"/>
        <v>2470635901</v>
      </c>
      <c r="J58" s="121"/>
      <c r="N58" s="535"/>
      <c r="O58" s="535"/>
    </row>
    <row r="59" spans="1:15" ht="21.75" customHeight="1">
      <c r="A59" s="115">
        <f ca="1">IF(ROWS($1:46)&gt;COUNT(Dong1),"",OFFSET(TH!C$1,SMALL(Dong1,ROWS($1:46)),))</f>
        <v>41251</v>
      </c>
      <c r="B59" s="115">
        <f ca="1">IF(ROWS($1:46)&gt;COUNT(Dong1),"",OFFSET(TH!E$1,SMALL(Dong1,ROWS($1:46)),))</f>
        <v>41251</v>
      </c>
      <c r="C59" s="116" t="str">
        <f ca="1">IF(ROWS($1:46)&gt;COUNT(Dong1),"",IF(OFFSET(TH!L$1,SMALL(Dong1,ROWS($1:46)),)="1111",OFFSET(TH!D$1,SMALL(Dong1,ROWS($1:46)),),""))</f>
        <v/>
      </c>
      <c r="D59" s="117" t="str">
        <f ca="1">IF(ROWS($1:46)&gt;COUNT(Dong1),"",IF(OFFSET(TH!M$1,SMALL(Dong1,ROWS($1:46)),)="1111",OFFSET(TH!D$1,SMALL(Dong1,ROWS($1:46)),),""))</f>
        <v>C24</v>
      </c>
      <c r="E59" s="216" t="str">
        <f ca="1">IF(ROWS($1:46)&gt;COUNT(Dong1),"",OFFSET(TH!F$1,SMALL(Dong1,ROWS($1:46)),))</f>
        <v>Thanh toán tiền hàng</v>
      </c>
      <c r="F59" s="119" t="str">
        <f ca="1">IF(ROWS($1:46)&gt;COUNT(Dong1),"",IF(OFFSET(TH!M$1,SMALL(Dong1,ROWS($1:46)),)="1111",OFFSET(TH!L$1,SMALL(Dong1,ROWS($1:46)),),OFFSET(TH!M$1,SMALL(Dong1,ROWS($1:46)),)))</f>
        <v>331</v>
      </c>
      <c r="G59" s="120">
        <f ca="1">IF(ROWS($1:46)&gt;COUNT(Dong1),"",IF(OFFSET(TH!L$1,SMALL(Dong1,ROWS($1:46)),)="1111",OFFSET(TH!K$1,SMALL(Dong1,ROWS($1:46)),),0))</f>
        <v>0</v>
      </c>
      <c r="H59" s="118">
        <f ca="1">IF(ROWS($1:46)&gt;COUNT(Dong1),"",IF(OFFSET(TH!M$1,SMALL(Dong1,ROWS($1:46)),)="1111",OFFSET(TH!K$1,SMALL(Dong1,ROWS($1:46)),),0))</f>
        <v>11321200</v>
      </c>
      <c r="I59" s="116">
        <f t="shared" ca="1" si="1"/>
        <v>2459314701</v>
      </c>
      <c r="J59" s="121"/>
      <c r="N59" s="535"/>
      <c r="O59" s="535"/>
    </row>
    <row r="60" spans="1:15" ht="21.75" customHeight="1">
      <c r="A60" s="115">
        <f ca="1">IF(ROWS($1:47)&gt;COUNT(Dong1),"",OFFSET(TH!C$1,SMALL(Dong1,ROWS($1:47)),))</f>
        <v>41253</v>
      </c>
      <c r="B60" s="115">
        <f ca="1">IF(ROWS($1:47)&gt;COUNT(Dong1),"",OFFSET(TH!E$1,SMALL(Dong1,ROWS($1:47)),))</f>
        <v>41253</v>
      </c>
      <c r="C60" s="116" t="str">
        <f ca="1">IF(ROWS($1:47)&gt;COUNT(Dong1),"",IF(OFFSET(TH!L$1,SMALL(Dong1,ROWS($1:47)),)="1111",OFFSET(TH!D$1,SMALL(Dong1,ROWS($1:47)),),""))</f>
        <v>T15</v>
      </c>
      <c r="D60" s="117" t="str">
        <f ca="1">IF(ROWS($1:47)&gt;COUNT(Dong1),"",IF(OFFSET(TH!M$1,SMALL(Dong1,ROWS($1:47)),)="1111",OFFSET(TH!D$1,SMALL(Dong1,ROWS($1:47)),),""))</f>
        <v/>
      </c>
      <c r="E60" s="216" t="str">
        <f ca="1">IF(ROWS($1:47)&gt;COUNT(Dong1),"",OFFSET(TH!F$1,SMALL(Dong1,ROWS($1:47)),))</f>
        <v>Thu tiền hàng</v>
      </c>
      <c r="F60" s="119" t="str">
        <f ca="1">IF(ROWS($1:47)&gt;COUNT(Dong1),"",IF(OFFSET(TH!M$1,SMALL(Dong1,ROWS($1:47)),)="1111",OFFSET(TH!L$1,SMALL(Dong1,ROWS($1:47)),),OFFSET(TH!M$1,SMALL(Dong1,ROWS($1:47)),)))</f>
        <v>131</v>
      </c>
      <c r="G60" s="120">
        <f ca="1">IF(ROWS($1:47)&gt;COUNT(Dong1),"",IF(OFFSET(TH!L$1,SMALL(Dong1,ROWS($1:47)),)="1111",OFFSET(TH!K$1,SMALL(Dong1,ROWS($1:47)),),0))</f>
        <v>15466440</v>
      </c>
      <c r="H60" s="118">
        <f ca="1">IF(ROWS($1:47)&gt;COUNT(Dong1),"",IF(OFFSET(TH!M$1,SMALL(Dong1,ROWS($1:47)),)="1111",OFFSET(TH!K$1,SMALL(Dong1,ROWS($1:47)),),0))</f>
        <v>0</v>
      </c>
      <c r="I60" s="116">
        <f t="shared" ca="1" si="1"/>
        <v>2474781141</v>
      </c>
      <c r="J60" s="121"/>
      <c r="N60" s="535"/>
      <c r="O60" s="535"/>
    </row>
    <row r="61" spans="1:15" ht="21.75" customHeight="1">
      <c r="A61" s="115">
        <f ca="1">IF(ROWS($1:48)&gt;COUNT(Dong1),"",OFFSET(TH!C$1,SMALL(Dong1,ROWS($1:48)),))</f>
        <v>41255</v>
      </c>
      <c r="B61" s="115">
        <f ca="1">IF(ROWS($1:48)&gt;COUNT(Dong1),"",OFFSET(TH!E$1,SMALL(Dong1,ROWS($1:48)),))</f>
        <v>41255</v>
      </c>
      <c r="C61" s="116" t="str">
        <f ca="1">IF(ROWS($1:48)&gt;COUNT(Dong1),"",IF(OFFSET(TH!L$1,SMALL(Dong1,ROWS($1:48)),)="1111",OFFSET(TH!D$1,SMALL(Dong1,ROWS($1:48)),),""))</f>
        <v/>
      </c>
      <c r="D61" s="117" t="str">
        <f ca="1">IF(ROWS($1:48)&gt;COUNT(Dong1),"",IF(OFFSET(TH!M$1,SMALL(Dong1,ROWS($1:48)),)="1111",OFFSET(TH!D$1,SMALL(Dong1,ROWS($1:48)),),""))</f>
        <v>C25</v>
      </c>
      <c r="E61" s="216" t="str">
        <f ca="1">IF(ROWS($1:48)&gt;COUNT(Dong1),"",OFFSET(TH!F$1,SMALL(Dong1,ROWS($1:48)),))</f>
        <v>Văn phòng phẩm</v>
      </c>
      <c r="F61" s="119" t="str">
        <f ca="1">IF(ROWS($1:48)&gt;COUNT(Dong1),"",IF(OFFSET(TH!M$1,SMALL(Dong1,ROWS($1:48)),)="1111",OFFSET(TH!L$1,SMALL(Dong1,ROWS($1:48)),),OFFSET(TH!M$1,SMALL(Dong1,ROWS($1:48)),)))</f>
        <v>642</v>
      </c>
      <c r="G61" s="120">
        <f ca="1">IF(ROWS($1:48)&gt;COUNT(Dong1),"",IF(OFFSET(TH!L$1,SMALL(Dong1,ROWS($1:48)),)="1111",OFFSET(TH!K$1,SMALL(Dong1,ROWS($1:48)),),0))</f>
        <v>0</v>
      </c>
      <c r="H61" s="118">
        <f ca="1">IF(ROWS($1:48)&gt;COUNT(Dong1),"",IF(OFFSET(TH!M$1,SMALL(Dong1,ROWS($1:48)),)="1111",OFFSET(TH!K$1,SMALL(Dong1,ROWS($1:48)),),0))</f>
        <v>262000</v>
      </c>
      <c r="I61" s="116">
        <f t="shared" ca="1" si="1"/>
        <v>2474519141</v>
      </c>
      <c r="J61" s="121"/>
      <c r="N61" s="535"/>
      <c r="O61" s="535"/>
    </row>
    <row r="62" spans="1:15" ht="21.75" customHeight="1">
      <c r="A62" s="115">
        <f ca="1">IF(ROWS($1:49)&gt;COUNT(Dong1),"",OFFSET(TH!C$1,SMALL(Dong1,ROWS($1:49)),))</f>
        <v>41258</v>
      </c>
      <c r="B62" s="115">
        <f ca="1">IF(ROWS($1:49)&gt;COUNT(Dong1),"",OFFSET(TH!E$1,SMALL(Dong1,ROWS($1:49)),))</f>
        <v>41258</v>
      </c>
      <c r="C62" s="116" t="str">
        <f ca="1">IF(ROWS($1:49)&gt;COUNT(Dong1),"",IF(OFFSET(TH!L$1,SMALL(Dong1,ROWS($1:49)),)="1111",OFFSET(TH!D$1,SMALL(Dong1,ROWS($1:49)),),""))</f>
        <v/>
      </c>
      <c r="D62" s="117" t="str">
        <f ca="1">IF(ROWS($1:49)&gt;COUNT(Dong1),"",IF(OFFSET(TH!M$1,SMALL(Dong1,ROWS($1:49)),)="1111",OFFSET(TH!D$1,SMALL(Dong1,ROWS($1:49)),),""))</f>
        <v>C26</v>
      </c>
      <c r="E62" s="216" t="str">
        <f ca="1">IF(ROWS($1:49)&gt;COUNT(Dong1),"",OFFSET(TH!F$1,SMALL(Dong1,ROWS($1:49)),))</f>
        <v>Thanh toán tiền điện</v>
      </c>
      <c r="F62" s="119" t="str">
        <f ca="1">IF(ROWS($1:49)&gt;COUNT(Dong1),"",IF(OFFSET(TH!M$1,SMALL(Dong1,ROWS($1:49)),)="1111",OFFSET(TH!L$1,SMALL(Dong1,ROWS($1:49)),),OFFSET(TH!M$1,SMALL(Dong1,ROWS($1:49)),)))</f>
        <v>642</v>
      </c>
      <c r="G62" s="120">
        <f ca="1">IF(ROWS($1:49)&gt;COUNT(Dong1),"",IF(OFFSET(TH!L$1,SMALL(Dong1,ROWS($1:49)),)="1111",OFFSET(TH!K$1,SMALL(Dong1,ROWS($1:49)),),0))</f>
        <v>0</v>
      </c>
      <c r="H62" s="118">
        <f ca="1">IF(ROWS($1:49)&gt;COUNT(Dong1),"",IF(OFFSET(TH!M$1,SMALL(Dong1,ROWS($1:49)),)="1111",OFFSET(TH!K$1,SMALL(Dong1,ROWS($1:49)),),0))</f>
        <v>646719</v>
      </c>
      <c r="I62" s="116">
        <f t="shared" ca="1" si="1"/>
        <v>2473872422</v>
      </c>
      <c r="J62" s="121"/>
      <c r="N62" s="535"/>
      <c r="O62" s="535"/>
    </row>
    <row r="63" spans="1:15" ht="21.75" customHeight="1">
      <c r="A63" s="115">
        <f ca="1">IF(ROWS($1:50)&gt;COUNT(Dong1),"",OFFSET(TH!C$1,SMALL(Dong1,ROWS($1:50)),))</f>
        <v>41258</v>
      </c>
      <c r="B63" s="115">
        <f ca="1">IF(ROWS($1:50)&gt;COUNT(Dong1),"",OFFSET(TH!E$1,SMALL(Dong1,ROWS($1:50)),))</f>
        <v>41258</v>
      </c>
      <c r="C63" s="116" t="str">
        <f ca="1">IF(ROWS($1:50)&gt;COUNT(Dong1),"",IF(OFFSET(TH!L$1,SMALL(Dong1,ROWS($1:50)),)="1111",OFFSET(TH!D$1,SMALL(Dong1,ROWS($1:50)),),""))</f>
        <v/>
      </c>
      <c r="D63" s="117" t="str">
        <f ca="1">IF(ROWS($1:50)&gt;COUNT(Dong1),"",IF(OFFSET(TH!M$1,SMALL(Dong1,ROWS($1:50)),)="1111",OFFSET(TH!D$1,SMALL(Dong1,ROWS($1:50)),),""))</f>
        <v>C26</v>
      </c>
      <c r="E63" s="216" t="str">
        <f ca="1">IF(ROWS($1:50)&gt;COUNT(Dong1),"",OFFSET(TH!F$1,SMALL(Dong1,ROWS($1:50)),))</f>
        <v>VAT Thanh toán tiền điện</v>
      </c>
      <c r="F63" s="119" t="str">
        <f ca="1">IF(ROWS($1:50)&gt;COUNT(Dong1),"",IF(OFFSET(TH!M$1,SMALL(Dong1,ROWS($1:50)),)="1111",OFFSET(TH!L$1,SMALL(Dong1,ROWS($1:50)),),OFFSET(TH!M$1,SMALL(Dong1,ROWS($1:50)),)))</f>
        <v>642</v>
      </c>
      <c r="G63" s="120">
        <f ca="1">IF(ROWS($1:50)&gt;COUNT(Dong1),"",IF(OFFSET(TH!L$1,SMALL(Dong1,ROWS($1:50)),)="1111",OFFSET(TH!K$1,SMALL(Dong1,ROWS($1:50)),),0))</f>
        <v>0</v>
      </c>
      <c r="H63" s="118">
        <f ca="1">IF(ROWS($1:50)&gt;COUNT(Dong1),"",IF(OFFSET(TH!M$1,SMALL(Dong1,ROWS($1:50)),)="1111",OFFSET(TH!K$1,SMALL(Dong1,ROWS($1:50)),),0))</f>
        <v>64672</v>
      </c>
      <c r="I63" s="116">
        <f t="shared" ca="1" si="1"/>
        <v>2473807750</v>
      </c>
      <c r="J63" s="121"/>
      <c r="N63" s="535"/>
      <c r="O63" s="535"/>
    </row>
    <row r="64" spans="1:15" ht="21.75" customHeight="1">
      <c r="A64" s="115">
        <f ca="1">IF(ROWS($1:51)&gt;COUNT(Dong1),"",OFFSET(TH!C$1,SMALL(Dong1,ROWS($1:51)),))</f>
        <v>41260</v>
      </c>
      <c r="B64" s="115">
        <f ca="1">IF(ROWS($1:51)&gt;COUNT(Dong1),"",OFFSET(TH!E$1,SMALL(Dong1,ROWS($1:51)),))</f>
        <v>41260</v>
      </c>
      <c r="C64" s="116" t="str">
        <f ca="1">IF(ROWS($1:51)&gt;COUNT(Dong1),"",IF(OFFSET(TH!L$1,SMALL(Dong1,ROWS($1:51)),)="1111",OFFSET(TH!D$1,SMALL(Dong1,ROWS($1:51)),),""))</f>
        <v/>
      </c>
      <c r="D64" s="117" t="str">
        <f ca="1">IF(ROWS($1:51)&gt;COUNT(Dong1),"",IF(OFFSET(TH!M$1,SMALL(Dong1,ROWS($1:51)),)="1111",OFFSET(TH!D$1,SMALL(Dong1,ROWS($1:51)),),""))</f>
        <v>C27</v>
      </c>
      <c r="E64" s="216" t="str">
        <f ca="1">IF(ROWS($1:51)&gt;COUNT(Dong1),"",OFFSET(TH!F$1,SMALL(Dong1,ROWS($1:51)),))</f>
        <v>Thanh toán tiền viễn thông</v>
      </c>
      <c r="F64" s="119" t="str">
        <f ca="1">IF(ROWS($1:51)&gt;COUNT(Dong1),"",IF(OFFSET(TH!M$1,SMALL(Dong1,ROWS($1:51)),)="1111",OFFSET(TH!L$1,SMALL(Dong1,ROWS($1:51)),),OFFSET(TH!M$1,SMALL(Dong1,ROWS($1:51)),)))</f>
        <v>642</v>
      </c>
      <c r="G64" s="120">
        <f ca="1">IF(ROWS($1:51)&gt;COUNT(Dong1),"",IF(OFFSET(TH!L$1,SMALL(Dong1,ROWS($1:51)),)="1111",OFFSET(TH!K$1,SMALL(Dong1,ROWS($1:51)),),0))</f>
        <v>0</v>
      </c>
      <c r="H64" s="118">
        <f ca="1">IF(ROWS($1:51)&gt;COUNT(Dong1),"",IF(OFFSET(TH!M$1,SMALL(Dong1,ROWS($1:51)),)="1111",OFFSET(TH!K$1,SMALL(Dong1,ROWS($1:51)),),0))</f>
        <v>277272</v>
      </c>
      <c r="I64" s="116">
        <f t="shared" ca="1" si="1"/>
        <v>2473530478</v>
      </c>
      <c r="J64" s="121"/>
      <c r="N64" s="535"/>
      <c r="O64" s="535"/>
    </row>
    <row r="65" spans="1:15" ht="21.75" customHeight="1">
      <c r="A65" s="115">
        <f ca="1">IF(ROWS($1:52)&gt;COUNT(Dong1),"",OFFSET(TH!C$1,SMALL(Dong1,ROWS($1:52)),))</f>
        <v>41260</v>
      </c>
      <c r="B65" s="115">
        <f ca="1">IF(ROWS($1:52)&gt;COUNT(Dong1),"",OFFSET(TH!E$1,SMALL(Dong1,ROWS($1:52)),))</f>
        <v>41260</v>
      </c>
      <c r="C65" s="116" t="str">
        <f ca="1">IF(ROWS($1:52)&gt;COUNT(Dong1),"",IF(OFFSET(TH!L$1,SMALL(Dong1,ROWS($1:52)),)="1111",OFFSET(TH!D$1,SMALL(Dong1,ROWS($1:52)),),""))</f>
        <v/>
      </c>
      <c r="D65" s="117" t="str">
        <f ca="1">IF(ROWS($1:52)&gt;COUNT(Dong1),"",IF(OFFSET(TH!M$1,SMALL(Dong1,ROWS($1:52)),)="1111",OFFSET(TH!D$1,SMALL(Dong1,ROWS($1:52)),),""))</f>
        <v>C27</v>
      </c>
      <c r="E65" s="216" t="str">
        <f ca="1">IF(ROWS($1:52)&gt;COUNT(Dong1),"",OFFSET(TH!F$1,SMALL(Dong1,ROWS($1:52)),))</f>
        <v>VAT Thanh toán tiền viễn thông</v>
      </c>
      <c r="F65" s="119" t="str">
        <f ca="1">IF(ROWS($1:52)&gt;COUNT(Dong1),"",IF(OFFSET(TH!M$1,SMALL(Dong1,ROWS($1:52)),)="1111",OFFSET(TH!L$1,SMALL(Dong1,ROWS($1:52)),),OFFSET(TH!M$1,SMALL(Dong1,ROWS($1:52)),)))</f>
        <v>1331</v>
      </c>
      <c r="G65" s="120">
        <f ca="1">IF(ROWS($1:52)&gt;COUNT(Dong1),"",IF(OFFSET(TH!L$1,SMALL(Dong1,ROWS($1:52)),)="1111",OFFSET(TH!K$1,SMALL(Dong1,ROWS($1:52)),),0))</f>
        <v>0</v>
      </c>
      <c r="H65" s="118">
        <f ca="1">IF(ROWS($1:52)&gt;COUNT(Dong1),"",IF(OFFSET(TH!M$1,SMALL(Dong1,ROWS($1:52)),)="1111",OFFSET(TH!K$1,SMALL(Dong1,ROWS($1:52)),),0))</f>
        <v>7728</v>
      </c>
      <c r="I65" s="116">
        <f t="shared" ca="1" si="1"/>
        <v>2473522750</v>
      </c>
      <c r="J65" s="121"/>
      <c r="N65" s="535"/>
      <c r="O65" s="535"/>
    </row>
    <row r="66" spans="1:15" ht="21.75" customHeight="1">
      <c r="A66" s="115">
        <f ca="1">IF(ROWS($1:53)&gt;COUNT(Dong1),"",OFFSET(TH!C$1,SMALL(Dong1,ROWS($1:53)),))</f>
        <v>41268</v>
      </c>
      <c r="B66" s="115">
        <f ca="1">IF(ROWS($1:53)&gt;COUNT(Dong1),"",OFFSET(TH!E$1,SMALL(Dong1,ROWS($1:53)),))</f>
        <v>41268</v>
      </c>
      <c r="C66" s="116" t="str">
        <f ca="1">IF(ROWS($1:53)&gt;COUNT(Dong1),"",IF(OFFSET(TH!L$1,SMALL(Dong1,ROWS($1:53)),)="1111",OFFSET(TH!D$1,SMALL(Dong1,ROWS($1:53)),),""))</f>
        <v>T16</v>
      </c>
      <c r="D66" s="117" t="str">
        <f ca="1">IF(ROWS($1:53)&gt;COUNT(Dong1),"",IF(OFFSET(TH!M$1,SMALL(Dong1,ROWS($1:53)),)="1111",OFFSET(TH!D$1,SMALL(Dong1,ROWS($1:53)),),""))</f>
        <v/>
      </c>
      <c r="E66" s="216" t="str">
        <f ca="1">IF(ROWS($1:53)&gt;COUNT(Dong1),"",OFFSET(TH!F$1,SMALL(Dong1,ROWS($1:53)),))</f>
        <v>Thu tiền hàng</v>
      </c>
      <c r="F66" s="119" t="str">
        <f ca="1">IF(ROWS($1:53)&gt;COUNT(Dong1),"",IF(OFFSET(TH!M$1,SMALL(Dong1,ROWS($1:53)),)="1111",OFFSET(TH!L$1,SMALL(Dong1,ROWS($1:53)),),OFFSET(TH!M$1,SMALL(Dong1,ROWS($1:53)),)))</f>
        <v>131</v>
      </c>
      <c r="G66" s="120">
        <f ca="1">IF(ROWS($1:53)&gt;COUNT(Dong1),"",IF(OFFSET(TH!L$1,SMALL(Dong1,ROWS($1:53)),)="1111",OFFSET(TH!K$1,SMALL(Dong1,ROWS($1:53)),),0))</f>
        <v>1678600</v>
      </c>
      <c r="H66" s="118">
        <f ca="1">IF(ROWS($1:53)&gt;COUNT(Dong1),"",IF(OFFSET(TH!M$1,SMALL(Dong1,ROWS($1:53)),)="1111",OFFSET(TH!K$1,SMALL(Dong1,ROWS($1:53)),),0))</f>
        <v>0</v>
      </c>
      <c r="I66" s="116">
        <f t="shared" ref="I66:I71" ca="1" si="2">IF(E66&lt;&gt;"",I65+G66-H66,0)</f>
        <v>2475201350</v>
      </c>
      <c r="J66" s="121"/>
      <c r="N66" s="535"/>
      <c r="O66" s="535"/>
    </row>
    <row r="67" spans="1:15" ht="21.75" customHeight="1">
      <c r="A67" s="115">
        <f ca="1">IF(ROWS($1:54)&gt;COUNT(Dong1),"",OFFSET(TH!C$1,SMALL(Dong1,ROWS($1:54)),))</f>
        <v>41269</v>
      </c>
      <c r="B67" s="115">
        <f ca="1">IF(ROWS($1:54)&gt;COUNT(Dong1),"",OFFSET(TH!E$1,SMALL(Dong1,ROWS($1:54)),))</f>
        <v>41269</v>
      </c>
      <c r="C67" s="116" t="str">
        <f ca="1">IF(ROWS($1:54)&gt;COUNT(Dong1),"",IF(OFFSET(TH!L$1,SMALL(Dong1,ROWS($1:54)),)="1111",OFFSET(TH!D$1,SMALL(Dong1,ROWS($1:54)),),""))</f>
        <v/>
      </c>
      <c r="D67" s="117" t="str">
        <f ca="1">IF(ROWS($1:54)&gt;COUNT(Dong1),"",IF(OFFSET(TH!M$1,SMALL(Dong1,ROWS($1:54)),)="1111",OFFSET(TH!D$1,SMALL(Dong1,ROWS($1:54)),),""))</f>
        <v>C28</v>
      </c>
      <c r="E67" s="216" t="str">
        <f ca="1">IF(ROWS($1:54)&gt;COUNT(Dong1),"",OFFSET(TH!F$1,SMALL(Dong1,ROWS($1:54)),))</f>
        <v>Chi phí tiếp khách</v>
      </c>
      <c r="F67" s="119" t="str">
        <f ca="1">IF(ROWS($1:54)&gt;COUNT(Dong1),"",IF(OFFSET(TH!M$1,SMALL(Dong1,ROWS($1:54)),)="1111",OFFSET(TH!L$1,SMALL(Dong1,ROWS($1:54)),),OFFSET(TH!M$1,SMALL(Dong1,ROWS($1:54)),)))</f>
        <v>642</v>
      </c>
      <c r="G67" s="120">
        <f ca="1">IF(ROWS($1:54)&gt;COUNT(Dong1),"",IF(OFFSET(TH!L$1,SMALL(Dong1,ROWS($1:54)),)="1111",OFFSET(TH!K$1,SMALL(Dong1,ROWS($1:54)),),0))</f>
        <v>0</v>
      </c>
      <c r="H67" s="118">
        <f ca="1">IF(ROWS($1:54)&gt;COUNT(Dong1),"",IF(OFFSET(TH!M$1,SMALL(Dong1,ROWS($1:54)),)="1111",OFFSET(TH!K$1,SMALL(Dong1,ROWS($1:54)),),0))</f>
        <v>3181818</v>
      </c>
      <c r="I67" s="116">
        <f t="shared" ca="1" si="2"/>
        <v>2472019532</v>
      </c>
      <c r="J67" s="121"/>
      <c r="N67" s="535"/>
      <c r="O67" s="535"/>
    </row>
    <row r="68" spans="1:15" ht="21.75" customHeight="1">
      <c r="A68" s="115">
        <f ca="1">IF(ROWS($1:55)&gt;COUNT(Dong1),"",OFFSET(TH!C$1,SMALL(Dong1,ROWS($1:55)),))</f>
        <v>41269</v>
      </c>
      <c r="B68" s="115">
        <f ca="1">IF(ROWS($1:55)&gt;COUNT(Dong1),"",OFFSET(TH!E$1,SMALL(Dong1,ROWS($1:55)),))</f>
        <v>41269</v>
      </c>
      <c r="C68" s="116" t="str">
        <f ca="1">IF(ROWS($1:55)&gt;COUNT(Dong1),"",IF(OFFSET(TH!L$1,SMALL(Dong1,ROWS($1:55)),)="1111",OFFSET(TH!D$1,SMALL(Dong1,ROWS($1:55)),),""))</f>
        <v/>
      </c>
      <c r="D68" s="117" t="str">
        <f ca="1">IF(ROWS($1:55)&gt;COUNT(Dong1),"",IF(OFFSET(TH!M$1,SMALL(Dong1,ROWS($1:55)),)="1111",OFFSET(TH!D$1,SMALL(Dong1,ROWS($1:55)),),""))</f>
        <v>C28</v>
      </c>
      <c r="E68" s="216" t="str">
        <f ca="1">IF(ROWS($1:55)&gt;COUNT(Dong1),"",OFFSET(TH!F$1,SMALL(Dong1,ROWS($1:55)),))</f>
        <v>VAT Chi phí tiếp khách</v>
      </c>
      <c r="F68" s="119" t="str">
        <f ca="1">IF(ROWS($1:55)&gt;COUNT(Dong1),"",IF(OFFSET(TH!M$1,SMALL(Dong1,ROWS($1:55)),)="1111",OFFSET(TH!L$1,SMALL(Dong1,ROWS($1:55)),),OFFSET(TH!M$1,SMALL(Dong1,ROWS($1:55)),)))</f>
        <v>1331</v>
      </c>
      <c r="G68" s="120">
        <f ca="1">IF(ROWS($1:55)&gt;COUNT(Dong1),"",IF(OFFSET(TH!L$1,SMALL(Dong1,ROWS($1:55)),)="1111",OFFSET(TH!K$1,SMALL(Dong1,ROWS($1:55)),),0))</f>
        <v>0</v>
      </c>
      <c r="H68" s="118">
        <f ca="1">IF(ROWS($1:55)&gt;COUNT(Dong1),"",IF(OFFSET(TH!M$1,SMALL(Dong1,ROWS($1:55)),)="1111",OFFSET(TH!K$1,SMALL(Dong1,ROWS($1:55)),),0))</f>
        <v>318182</v>
      </c>
      <c r="I68" s="116">
        <f t="shared" ca="1" si="2"/>
        <v>2471701350</v>
      </c>
      <c r="J68" s="121"/>
      <c r="N68" s="535"/>
      <c r="O68" s="535"/>
    </row>
    <row r="69" spans="1:15" ht="21.75" customHeight="1">
      <c r="A69" s="115">
        <f ca="1">IF(ROWS($1:56)&gt;COUNT(Dong1),"",OFFSET(TH!C$1,SMALL(Dong1,ROWS($1:56)),))</f>
        <v>41270</v>
      </c>
      <c r="B69" s="115">
        <f ca="1">IF(ROWS($1:56)&gt;COUNT(Dong1),"",OFFSET(TH!E$1,SMALL(Dong1,ROWS($1:56)),))</f>
        <v>41270</v>
      </c>
      <c r="C69" s="116" t="str">
        <f ca="1">IF(ROWS($1:56)&gt;COUNT(Dong1),"",IF(OFFSET(TH!L$1,SMALL(Dong1,ROWS($1:56)),)="1111",OFFSET(TH!D$1,SMALL(Dong1,ROWS($1:56)),),""))</f>
        <v>T17</v>
      </c>
      <c r="D69" s="117" t="str">
        <f ca="1">IF(ROWS($1:56)&gt;COUNT(Dong1),"",IF(OFFSET(TH!M$1,SMALL(Dong1,ROWS($1:56)),)="1111",OFFSET(TH!D$1,SMALL(Dong1,ROWS($1:56)),),""))</f>
        <v/>
      </c>
      <c r="E69" s="216" t="str">
        <f ca="1">IF(ROWS($1:56)&gt;COUNT(Dong1),"",OFFSET(TH!F$1,SMALL(Dong1,ROWS($1:56)),))</f>
        <v>Thu tiền hàng</v>
      </c>
      <c r="F69" s="119" t="str">
        <f ca="1">IF(ROWS($1:56)&gt;COUNT(Dong1),"",IF(OFFSET(TH!M$1,SMALL(Dong1,ROWS($1:56)),)="1111",OFFSET(TH!L$1,SMALL(Dong1,ROWS($1:56)),),OFFSET(TH!M$1,SMALL(Dong1,ROWS($1:56)),)))</f>
        <v>131</v>
      </c>
      <c r="G69" s="120">
        <f ca="1">IF(ROWS($1:56)&gt;COUNT(Dong1),"",IF(OFFSET(TH!L$1,SMALL(Dong1,ROWS($1:56)),)="1111",OFFSET(TH!K$1,SMALL(Dong1,ROWS($1:56)),),0))</f>
        <v>5864760</v>
      </c>
      <c r="H69" s="118">
        <f ca="1">IF(ROWS($1:56)&gt;COUNT(Dong1),"",IF(OFFSET(TH!M$1,SMALL(Dong1,ROWS($1:56)),)="1111",OFFSET(TH!K$1,SMALL(Dong1,ROWS($1:56)),),0))</f>
        <v>0</v>
      </c>
      <c r="I69" s="116">
        <f t="shared" ca="1" si="2"/>
        <v>2477566110</v>
      </c>
      <c r="J69" s="121"/>
      <c r="N69" s="535"/>
      <c r="O69" s="535"/>
    </row>
    <row r="70" spans="1:15" ht="21.75" customHeight="1">
      <c r="A70" s="115">
        <f ca="1">IF(ROWS($1:57)&gt;COUNT(Dong1),"",OFFSET(TH!C$1,SMALL(Dong1,ROWS($1:57)),))</f>
        <v>41271</v>
      </c>
      <c r="B70" s="115">
        <f ca="1">IF(ROWS($1:57)&gt;COUNT(Dong1),"",OFFSET(TH!E$1,SMALL(Dong1,ROWS($1:57)),))</f>
        <v>41271</v>
      </c>
      <c r="C70" s="116" t="str">
        <f ca="1">IF(ROWS($1:57)&gt;COUNT(Dong1),"",IF(OFFSET(TH!L$1,SMALL(Dong1,ROWS($1:57)),)="1111",OFFSET(TH!D$1,SMALL(Dong1,ROWS($1:57)),),""))</f>
        <v>T18</v>
      </c>
      <c r="D70" s="117" t="str">
        <f ca="1">IF(ROWS($1:57)&gt;COUNT(Dong1),"",IF(OFFSET(TH!M$1,SMALL(Dong1,ROWS($1:57)),)="1111",OFFSET(TH!D$1,SMALL(Dong1,ROWS($1:57)),),""))</f>
        <v/>
      </c>
      <c r="E70" s="216" t="str">
        <f ca="1">IF(ROWS($1:57)&gt;COUNT(Dong1),"",OFFSET(TH!F$1,SMALL(Dong1,ROWS($1:57)),))</f>
        <v>Rút sec nhập quỹ tiền mặt</v>
      </c>
      <c r="F70" s="119" t="str">
        <f ca="1">IF(ROWS($1:57)&gt;COUNT(Dong1),"",IF(OFFSET(TH!M$1,SMALL(Dong1,ROWS($1:57)),)="1111",OFFSET(TH!L$1,SMALL(Dong1,ROWS($1:57)),),OFFSET(TH!M$1,SMALL(Dong1,ROWS($1:57)),)))</f>
        <v>1121</v>
      </c>
      <c r="G70" s="120">
        <f ca="1">IF(ROWS($1:57)&gt;COUNT(Dong1),"",IF(OFFSET(TH!L$1,SMALL(Dong1,ROWS($1:57)),)="1111",OFFSET(TH!K$1,SMALL(Dong1,ROWS($1:57)),),0))</f>
        <v>19000000</v>
      </c>
      <c r="H70" s="118">
        <f ca="1">IF(ROWS($1:57)&gt;COUNT(Dong1),"",IF(OFFSET(TH!M$1,SMALL(Dong1,ROWS($1:57)),)="1111",OFFSET(TH!K$1,SMALL(Dong1,ROWS($1:57)),),0))</f>
        <v>0</v>
      </c>
      <c r="I70" s="116">
        <f t="shared" ca="1" si="2"/>
        <v>2496566110</v>
      </c>
      <c r="J70" s="121"/>
      <c r="N70" s="535"/>
      <c r="O70" s="535"/>
    </row>
    <row r="71" spans="1:15" ht="21.75" customHeight="1">
      <c r="A71" s="115">
        <f ca="1">IF(ROWS($1:58)&gt;COUNT(Dong1),"",OFFSET(TH!C$1,SMALL(Dong1,ROWS($1:58)),))</f>
        <v>41271</v>
      </c>
      <c r="B71" s="115">
        <f ca="1">IF(ROWS($1:58)&gt;COUNT(Dong1),"",OFFSET(TH!E$1,SMALL(Dong1,ROWS($1:58)),))</f>
        <v>41271</v>
      </c>
      <c r="C71" s="116" t="str">
        <f ca="1">IF(ROWS($1:58)&gt;COUNT(Dong1),"",IF(OFFSET(TH!L$1,SMALL(Dong1,ROWS($1:58)),)="1111",OFFSET(TH!D$1,SMALL(Dong1,ROWS($1:58)),),""))</f>
        <v/>
      </c>
      <c r="D71" s="117" t="str">
        <f ca="1">IF(ROWS($1:58)&gt;COUNT(Dong1),"",IF(OFFSET(TH!M$1,SMALL(Dong1,ROWS($1:58)),)="1111",OFFSET(TH!D$1,SMALL(Dong1,ROWS($1:58)),),""))</f>
        <v>C29</v>
      </c>
      <c r="E71" s="216" t="str">
        <f ca="1">IF(ROWS($1:58)&gt;COUNT(Dong1),"",OFFSET(TH!F$1,SMALL(Dong1,ROWS($1:58)),))</f>
        <v>Chi phí tiếp khách</v>
      </c>
      <c r="F71" s="119" t="str">
        <f ca="1">IF(ROWS($1:58)&gt;COUNT(Dong1),"",IF(OFFSET(TH!M$1,SMALL(Dong1,ROWS($1:58)),)="1111",OFFSET(TH!L$1,SMALL(Dong1,ROWS($1:58)),),OFFSET(TH!M$1,SMALL(Dong1,ROWS($1:58)),)))</f>
        <v>642</v>
      </c>
      <c r="G71" s="120">
        <f ca="1">IF(ROWS($1:58)&gt;COUNT(Dong1),"",IF(OFFSET(TH!L$1,SMALL(Dong1,ROWS($1:58)),)="1111",OFFSET(TH!K$1,SMALL(Dong1,ROWS($1:58)),),0))</f>
        <v>0</v>
      </c>
      <c r="H71" s="118">
        <f ca="1">IF(ROWS($1:58)&gt;COUNT(Dong1),"",IF(OFFSET(TH!M$1,SMALL(Dong1,ROWS($1:58)),)="1111",OFFSET(TH!K$1,SMALL(Dong1,ROWS($1:58)),),0))</f>
        <v>3363636</v>
      </c>
      <c r="I71" s="116">
        <f t="shared" ca="1" si="2"/>
        <v>2493202474</v>
      </c>
      <c r="J71" s="121"/>
      <c r="N71" s="535"/>
      <c r="O71" s="535"/>
    </row>
    <row r="72" spans="1:15" ht="21.75" customHeight="1">
      <c r="A72" s="115">
        <f ca="1">IF(ROWS($1:59)&gt;COUNT(Dong1),"",OFFSET(TH!C$1,SMALL(Dong1,ROWS($1:59)),))</f>
        <v>41271</v>
      </c>
      <c r="B72" s="115">
        <f ca="1">IF(ROWS($1:59)&gt;COUNT(Dong1),"",OFFSET(TH!E$1,SMALL(Dong1,ROWS($1:59)),))</f>
        <v>41271</v>
      </c>
      <c r="C72" s="116" t="str">
        <f ca="1">IF(ROWS($1:59)&gt;COUNT(Dong1),"",IF(OFFSET(TH!L$1,SMALL(Dong1,ROWS($1:59)),)="1111",OFFSET(TH!D$1,SMALL(Dong1,ROWS($1:59)),),""))</f>
        <v/>
      </c>
      <c r="D72" s="117" t="str">
        <f ca="1">IF(ROWS($1:59)&gt;COUNT(Dong1),"",IF(OFFSET(TH!M$1,SMALL(Dong1,ROWS($1:59)),)="1111",OFFSET(TH!D$1,SMALL(Dong1,ROWS($1:59)),),""))</f>
        <v>C29</v>
      </c>
      <c r="E72" s="216" t="str">
        <f ca="1">IF(ROWS($1:59)&gt;COUNT(Dong1),"",OFFSET(TH!F$1,SMALL(Dong1,ROWS($1:59)),))</f>
        <v>VAT Chi phí tiếp khách</v>
      </c>
      <c r="F72" s="119" t="str">
        <f ca="1">IF(ROWS($1:59)&gt;COUNT(Dong1),"",IF(OFFSET(TH!M$1,SMALL(Dong1,ROWS($1:59)),)="1111",OFFSET(TH!L$1,SMALL(Dong1,ROWS($1:59)),),OFFSET(TH!M$1,SMALL(Dong1,ROWS($1:59)),)))</f>
        <v>1331</v>
      </c>
      <c r="G72" s="120">
        <f ca="1">IF(ROWS($1:59)&gt;COUNT(Dong1),"",IF(OFFSET(TH!L$1,SMALL(Dong1,ROWS($1:59)),)="1111",OFFSET(TH!K$1,SMALL(Dong1,ROWS($1:59)),),0))</f>
        <v>0</v>
      </c>
      <c r="H72" s="118">
        <f ca="1">IF(ROWS($1:59)&gt;COUNT(Dong1),"",IF(OFFSET(TH!M$1,SMALL(Dong1,ROWS($1:59)),)="1111",OFFSET(TH!K$1,SMALL(Dong1,ROWS($1:59)),),0))</f>
        <v>336364</v>
      </c>
      <c r="I72" s="116">
        <f t="shared" ref="I72:I78" ca="1" si="3">IF(E72&lt;&gt;"",I71+G72-H72,0)</f>
        <v>2492866110</v>
      </c>
      <c r="J72" s="121"/>
      <c r="N72" s="535"/>
      <c r="O72" s="535"/>
    </row>
    <row r="73" spans="1:15" ht="21.75" customHeight="1">
      <c r="A73" s="115">
        <f ca="1">IF(ROWS($1:60)&gt;COUNT(Dong1),"",OFFSET(TH!C$1,SMALL(Dong1,ROWS($1:60)),))</f>
        <v>41273</v>
      </c>
      <c r="B73" s="115">
        <f ca="1">IF(ROWS($1:60)&gt;COUNT(Dong1),"",OFFSET(TH!E$1,SMALL(Dong1,ROWS($1:60)),))</f>
        <v>41273</v>
      </c>
      <c r="C73" s="116" t="str">
        <f ca="1">IF(ROWS($1:60)&gt;COUNT(Dong1),"",IF(OFFSET(TH!L$1,SMALL(Dong1,ROWS($1:60)),)="1111",OFFSET(TH!D$1,SMALL(Dong1,ROWS($1:60)),),""))</f>
        <v/>
      </c>
      <c r="D73" s="117" t="str">
        <f ca="1">IF(ROWS($1:60)&gt;COUNT(Dong1),"",IF(OFFSET(TH!M$1,SMALL(Dong1,ROWS($1:60)),)="1111",OFFSET(TH!D$1,SMALL(Dong1,ROWS($1:60)),),""))</f>
        <v>C30</v>
      </c>
      <c r="E73" s="216" t="str">
        <f ca="1">IF(ROWS($1:60)&gt;COUNT(Dong1),"",OFFSET(TH!F$1,SMALL(Dong1,ROWS($1:60)),))</f>
        <v>Thanh toán tiền hàng</v>
      </c>
      <c r="F73" s="119" t="str">
        <f ca="1">IF(ROWS($1:60)&gt;COUNT(Dong1),"",IF(OFFSET(TH!M$1,SMALL(Dong1,ROWS($1:60)),)="1111",OFFSET(TH!L$1,SMALL(Dong1,ROWS($1:60)),),OFFSET(TH!M$1,SMALL(Dong1,ROWS($1:60)),)))</f>
        <v>331</v>
      </c>
      <c r="G73" s="120">
        <f ca="1">IF(ROWS($1:60)&gt;COUNT(Dong1),"",IF(OFFSET(TH!L$1,SMALL(Dong1,ROWS($1:60)),)="1111",OFFSET(TH!K$1,SMALL(Dong1,ROWS($1:60)),),0))</f>
        <v>0</v>
      </c>
      <c r="H73" s="118">
        <f ca="1">IF(ROWS($1:60)&gt;COUNT(Dong1),"",IF(OFFSET(TH!M$1,SMALL(Dong1,ROWS($1:60)),)="1111",OFFSET(TH!K$1,SMALL(Dong1,ROWS($1:60)),),0))</f>
        <v>17817140</v>
      </c>
      <c r="I73" s="116">
        <f t="shared" ca="1" si="3"/>
        <v>2475048970</v>
      </c>
      <c r="J73" s="121"/>
      <c r="N73" s="535"/>
      <c r="O73" s="535"/>
    </row>
    <row r="74" spans="1:15" ht="21.75" customHeight="1">
      <c r="A74" s="115">
        <f ca="1">IF(ROWS($1:61)&gt;COUNT(Dong1),"",OFFSET(TH!C$1,SMALL(Dong1,ROWS($1:61)),))</f>
        <v>41274</v>
      </c>
      <c r="B74" s="115">
        <f ca="1">IF(ROWS($1:61)&gt;COUNT(Dong1),"",OFFSET(TH!E$1,SMALL(Dong1,ROWS($1:61)),))</f>
        <v>41274</v>
      </c>
      <c r="C74" s="116" t="str">
        <f ca="1">IF(ROWS($1:61)&gt;COUNT(Dong1),"",IF(OFFSET(TH!L$1,SMALL(Dong1,ROWS($1:61)),)="1111",OFFSET(TH!D$1,SMALL(Dong1,ROWS($1:61)),),""))</f>
        <v/>
      </c>
      <c r="D74" s="117" t="str">
        <f ca="1">IF(ROWS($1:61)&gt;COUNT(Dong1),"",IF(OFFSET(TH!M$1,SMALL(Dong1,ROWS($1:61)),)="1111",OFFSET(TH!D$1,SMALL(Dong1,ROWS($1:61)),),""))</f>
        <v>C31</v>
      </c>
      <c r="E74" s="216" t="str">
        <f ca="1">IF(ROWS($1:61)&gt;COUNT(Dong1),"",OFFSET(TH!F$1,SMALL(Dong1,ROWS($1:61)),))</f>
        <v>Cước vận chuyển</v>
      </c>
      <c r="F74" s="119" t="str">
        <f ca="1">IF(ROWS($1:61)&gt;COUNT(Dong1),"",IF(OFFSET(TH!M$1,SMALL(Dong1,ROWS($1:61)),)="1111",OFFSET(TH!L$1,SMALL(Dong1,ROWS($1:61)),),OFFSET(TH!M$1,SMALL(Dong1,ROWS($1:61)),)))</f>
        <v>642</v>
      </c>
      <c r="G74" s="120">
        <f ca="1">IF(ROWS($1:61)&gt;COUNT(Dong1),"",IF(OFFSET(TH!L$1,SMALL(Dong1,ROWS($1:61)),)="1111",OFFSET(TH!K$1,SMALL(Dong1,ROWS($1:61)),),0))</f>
        <v>0</v>
      </c>
      <c r="H74" s="118">
        <f ca="1">IF(ROWS($1:61)&gt;COUNT(Dong1),"",IF(OFFSET(TH!M$1,SMALL(Dong1,ROWS($1:61)),)="1111",OFFSET(TH!K$1,SMALL(Dong1,ROWS($1:61)),),0))</f>
        <v>3000000</v>
      </c>
      <c r="I74" s="116">
        <f t="shared" ca="1" si="3"/>
        <v>2472048970</v>
      </c>
      <c r="J74" s="121"/>
      <c r="N74" s="535"/>
      <c r="O74" s="535"/>
    </row>
    <row r="75" spans="1:15" ht="21.75" customHeight="1">
      <c r="A75" s="115">
        <f ca="1">IF(ROWS($1:62)&gt;COUNT(Dong1),"",OFFSET(TH!C$1,SMALL(Dong1,ROWS($1:62)),))</f>
        <v>41274</v>
      </c>
      <c r="B75" s="115">
        <f ca="1">IF(ROWS($1:62)&gt;COUNT(Dong1),"",OFFSET(TH!E$1,SMALL(Dong1,ROWS($1:62)),))</f>
        <v>41274</v>
      </c>
      <c r="C75" s="116" t="str">
        <f ca="1">IF(ROWS($1:62)&gt;COUNT(Dong1),"",IF(OFFSET(TH!L$1,SMALL(Dong1,ROWS($1:62)),)="1111",OFFSET(TH!D$1,SMALL(Dong1,ROWS($1:62)),),""))</f>
        <v/>
      </c>
      <c r="D75" s="117" t="str">
        <f ca="1">IF(ROWS($1:62)&gt;COUNT(Dong1),"",IF(OFFSET(TH!M$1,SMALL(Dong1,ROWS($1:62)),)="1111",OFFSET(TH!D$1,SMALL(Dong1,ROWS($1:62)),),""))</f>
        <v>C31</v>
      </c>
      <c r="E75" s="216" t="str">
        <f ca="1">IF(ROWS($1:62)&gt;COUNT(Dong1),"",OFFSET(TH!F$1,SMALL(Dong1,ROWS($1:62)),))</f>
        <v>VAT Cước vận chuyển</v>
      </c>
      <c r="F75" s="119" t="str">
        <f ca="1">IF(ROWS($1:62)&gt;COUNT(Dong1),"",IF(OFFSET(TH!M$1,SMALL(Dong1,ROWS($1:62)),)="1111",OFFSET(TH!L$1,SMALL(Dong1,ROWS($1:62)),),OFFSET(TH!M$1,SMALL(Dong1,ROWS($1:62)),)))</f>
        <v>1331</v>
      </c>
      <c r="G75" s="120">
        <f ca="1">IF(ROWS($1:62)&gt;COUNT(Dong1),"",IF(OFFSET(TH!L$1,SMALL(Dong1,ROWS($1:62)),)="1111",OFFSET(TH!K$1,SMALL(Dong1,ROWS($1:62)),),0))</f>
        <v>0</v>
      </c>
      <c r="H75" s="118">
        <f ca="1">IF(ROWS($1:62)&gt;COUNT(Dong1),"",IF(OFFSET(TH!M$1,SMALL(Dong1,ROWS($1:62)),)="1111",OFFSET(TH!K$1,SMALL(Dong1,ROWS($1:62)),),0))</f>
        <v>300000</v>
      </c>
      <c r="I75" s="116">
        <f t="shared" ca="1" si="3"/>
        <v>2471748970</v>
      </c>
      <c r="J75" s="121"/>
      <c r="N75" s="535"/>
      <c r="O75" s="535"/>
    </row>
    <row r="76" spans="1:15" ht="21.75" customHeight="1">
      <c r="A76" s="115">
        <f ca="1">IF(ROWS($1:63)&gt;COUNT(Dong1),"",OFFSET(TH!C$1,SMALL(Dong1,ROWS($1:63)),))</f>
        <v>41274</v>
      </c>
      <c r="B76" s="115">
        <f ca="1">IF(ROWS($1:63)&gt;COUNT(Dong1),"",OFFSET(TH!E$1,SMALL(Dong1,ROWS($1:63)),))</f>
        <v>41274</v>
      </c>
      <c r="C76" s="116" t="str">
        <f ca="1">IF(ROWS($1:63)&gt;COUNT(Dong1),"",IF(OFFSET(TH!L$1,SMALL(Dong1,ROWS($1:63)),)="1111",OFFSET(TH!D$1,SMALL(Dong1,ROWS($1:63)),),""))</f>
        <v/>
      </c>
      <c r="D76" s="117" t="str">
        <f ca="1">IF(ROWS($1:63)&gt;COUNT(Dong1),"",IF(OFFSET(TH!M$1,SMALL(Dong1,ROWS($1:63)),)="1111",OFFSET(TH!D$1,SMALL(Dong1,ROWS($1:63)),),""))</f>
        <v>C32</v>
      </c>
      <c r="E76" s="216" t="str">
        <f ca="1">IF(ROWS($1:63)&gt;COUNT(Dong1),"",OFFSET(TH!F$1,SMALL(Dong1,ROWS($1:63)),))</f>
        <v>Mực in</v>
      </c>
      <c r="F76" s="119" t="str">
        <f ca="1">IF(ROWS($1:63)&gt;COUNT(Dong1),"",IF(OFFSET(TH!M$1,SMALL(Dong1,ROWS($1:63)),)="1111",OFFSET(TH!L$1,SMALL(Dong1,ROWS($1:63)),),OFFSET(TH!M$1,SMALL(Dong1,ROWS($1:63)),)))</f>
        <v>154</v>
      </c>
      <c r="G76" s="120">
        <f ca="1">IF(ROWS($1:63)&gt;COUNT(Dong1),"",IF(OFFSET(TH!L$1,SMALL(Dong1,ROWS($1:63)),)="1111",OFFSET(TH!K$1,SMALL(Dong1,ROWS($1:63)),),0))</f>
        <v>0</v>
      </c>
      <c r="H76" s="118">
        <f ca="1">IF(ROWS($1:63)&gt;COUNT(Dong1),"",IF(OFFSET(TH!M$1,SMALL(Dong1,ROWS($1:63)),)="1111",OFFSET(TH!K$1,SMALL(Dong1,ROWS($1:63)),),0))</f>
        <v>1137500</v>
      </c>
      <c r="I76" s="116">
        <f t="shared" ca="1" si="3"/>
        <v>2470611470</v>
      </c>
      <c r="J76" s="121"/>
      <c r="N76" s="535"/>
      <c r="O76" s="535"/>
    </row>
    <row r="77" spans="1:15" ht="21.75" customHeight="1">
      <c r="A77" s="115">
        <f ca="1">IF(ROWS($1:64)&gt;COUNT(Dong1),"",OFFSET(TH!C$1,SMALL(Dong1,ROWS($1:64)),))</f>
        <v>42368</v>
      </c>
      <c r="B77" s="115">
        <f ca="1">IF(ROWS($1:64)&gt;COUNT(Dong1),"",OFFSET(TH!E$1,SMALL(Dong1,ROWS($1:64)),))</f>
        <v>42368</v>
      </c>
      <c r="C77" s="116" t="str">
        <f ca="1">IF(ROWS($1:64)&gt;COUNT(Dong1),"",IF(OFFSET(TH!L$1,SMALL(Dong1,ROWS($1:64)),)="1111",OFFSET(TH!D$1,SMALL(Dong1,ROWS($1:64)),),""))</f>
        <v/>
      </c>
      <c r="D77" s="117" t="str">
        <f ca="1">IF(ROWS($1:64)&gt;COUNT(Dong1),"",IF(OFFSET(TH!M$1,SMALL(Dong1,ROWS($1:64)),)="1111",OFFSET(TH!D$1,SMALL(Dong1,ROWS($1:64)),),""))</f>
        <v>C33</v>
      </c>
      <c r="E77" s="216" t="str">
        <f ca="1">IF(ROWS($1:64)&gt;COUNT(Dong1),"",OFFSET(TH!F$1,SMALL(Dong1,ROWS($1:64)),))</f>
        <v>Chi phí tiếp khách</v>
      </c>
      <c r="F77" s="119" t="str">
        <f ca="1">IF(ROWS($1:64)&gt;COUNT(Dong1),"",IF(OFFSET(TH!M$1,SMALL(Dong1,ROWS($1:64)),)="1111",OFFSET(TH!L$1,SMALL(Dong1,ROWS($1:64)),),OFFSET(TH!M$1,SMALL(Dong1,ROWS($1:64)),)))</f>
        <v>642</v>
      </c>
      <c r="G77" s="120">
        <f ca="1">IF(ROWS($1:64)&gt;COUNT(Dong1),"",IF(OFFSET(TH!L$1,SMALL(Dong1,ROWS($1:64)),)="1111",OFFSET(TH!K$1,SMALL(Dong1,ROWS($1:64)),),0))</f>
        <v>0</v>
      </c>
      <c r="H77" s="118">
        <f ca="1">IF(ROWS($1:64)&gt;COUNT(Dong1),"",IF(OFFSET(TH!M$1,SMALL(Dong1,ROWS($1:64)),)="1111",OFFSET(TH!K$1,SMALL(Dong1,ROWS($1:64)),),0))</f>
        <v>2545455</v>
      </c>
      <c r="I77" s="116">
        <f t="shared" ca="1" si="3"/>
        <v>2468066015</v>
      </c>
      <c r="J77" s="121"/>
      <c r="N77" s="535"/>
      <c r="O77" s="535"/>
    </row>
    <row r="78" spans="1:15" ht="21.75" customHeight="1">
      <c r="A78" s="115">
        <f ca="1">IF(ROWS($1:65)&gt;COUNT(Dong1),"",OFFSET(TH!C$1,SMALL(Dong1,ROWS($1:65)),))</f>
        <v>42368</v>
      </c>
      <c r="B78" s="115">
        <f ca="1">IF(ROWS($1:65)&gt;COUNT(Dong1),"",OFFSET(TH!E$1,SMALL(Dong1,ROWS($1:65)),))</f>
        <v>42368</v>
      </c>
      <c r="C78" s="116" t="str">
        <f ca="1">IF(ROWS($1:65)&gt;COUNT(Dong1),"",IF(OFFSET(TH!L$1,SMALL(Dong1,ROWS($1:65)),)="1111",OFFSET(TH!D$1,SMALL(Dong1,ROWS($1:65)),),""))</f>
        <v/>
      </c>
      <c r="D78" s="117" t="str">
        <f ca="1">IF(ROWS($1:65)&gt;COUNT(Dong1),"",IF(OFFSET(TH!M$1,SMALL(Dong1,ROWS($1:65)),)="1111",OFFSET(TH!D$1,SMALL(Dong1,ROWS($1:65)),),""))</f>
        <v>C33</v>
      </c>
      <c r="E78" s="216" t="str">
        <f ca="1">IF(ROWS($1:65)&gt;COUNT(Dong1),"",OFFSET(TH!F$1,SMALL(Dong1,ROWS($1:65)),))</f>
        <v>VAT Chi phí tiếp khách</v>
      </c>
      <c r="F78" s="119" t="str">
        <f ca="1">IF(ROWS($1:65)&gt;COUNT(Dong1),"",IF(OFFSET(TH!M$1,SMALL(Dong1,ROWS($1:65)),)="1111",OFFSET(TH!L$1,SMALL(Dong1,ROWS($1:65)),),OFFSET(TH!M$1,SMALL(Dong1,ROWS($1:65)),)))</f>
        <v>1331</v>
      </c>
      <c r="G78" s="120">
        <f ca="1">IF(ROWS($1:65)&gt;COUNT(Dong1),"",IF(OFFSET(TH!L$1,SMALL(Dong1,ROWS($1:65)),)="1111",OFFSET(TH!K$1,SMALL(Dong1,ROWS($1:65)),),0))</f>
        <v>0</v>
      </c>
      <c r="H78" s="118">
        <f ca="1">IF(ROWS($1:65)&gt;COUNT(Dong1),"",IF(OFFSET(TH!M$1,SMALL(Dong1,ROWS($1:65)),)="1111",OFFSET(TH!K$1,SMALL(Dong1,ROWS($1:65)),),0))</f>
        <v>254545</v>
      </c>
      <c r="I78" s="116">
        <f t="shared" ca="1" si="3"/>
        <v>2467811470</v>
      </c>
      <c r="J78" s="121"/>
      <c r="N78" s="535"/>
      <c r="O78" s="535"/>
    </row>
    <row r="79" spans="1:15" ht="21.75" customHeight="1">
      <c r="A79" s="122"/>
      <c r="B79" s="121"/>
      <c r="C79" s="121"/>
      <c r="D79" s="121"/>
      <c r="E79" s="217"/>
      <c r="F79" s="123"/>
      <c r="G79" s="121"/>
      <c r="H79" s="121"/>
      <c r="I79" s="116"/>
      <c r="J79" s="121"/>
    </row>
    <row r="80" spans="1:15" s="111" customFormat="1" ht="21.75" customHeight="1">
      <c r="A80" s="124"/>
      <c r="B80" s="124"/>
      <c r="C80" s="124"/>
      <c r="D80" s="124"/>
      <c r="E80" s="124" t="s">
        <v>133</v>
      </c>
      <c r="F80" s="125" t="s">
        <v>19</v>
      </c>
      <c r="G80" s="124">
        <f ca="1">SUM(G14:G79)</f>
        <v>219757545</v>
      </c>
      <c r="H80" s="124">
        <f ca="1">SUM(H14:H79)</f>
        <v>196960556</v>
      </c>
      <c r="I80" s="125" t="s">
        <v>19</v>
      </c>
      <c r="J80" s="125" t="s">
        <v>19</v>
      </c>
    </row>
    <row r="81" spans="1:12" s="111" customFormat="1" ht="21.75" customHeight="1">
      <c r="A81" s="126"/>
      <c r="B81" s="126"/>
      <c r="C81" s="126"/>
      <c r="D81" s="126"/>
      <c r="E81" s="126" t="s">
        <v>134</v>
      </c>
      <c r="F81" s="127" t="s">
        <v>19</v>
      </c>
      <c r="G81" s="127" t="s">
        <v>19</v>
      </c>
      <c r="H81" s="127" t="s">
        <v>19</v>
      </c>
      <c r="I81" s="128">
        <f ca="1">I13+G80-H80</f>
        <v>2467811470</v>
      </c>
      <c r="J81" s="127" t="s">
        <v>19</v>
      </c>
    </row>
    <row r="82" spans="1:12">
      <c r="L82" s="239" t="s">
        <v>155</v>
      </c>
    </row>
    <row r="83" spans="1:12">
      <c r="A83" s="129" t="s">
        <v>156</v>
      </c>
      <c r="L83" s="239" t="s">
        <v>156</v>
      </c>
    </row>
    <row r="84" spans="1:12">
      <c r="A84" s="175" t="str">
        <f ca="1">"- Ngày mở sổ: "&amp;DAY($A$14)&amp;"/"&amp;MONTH($A$14)&amp;"/ " &amp;YEAR($A$14)</f>
        <v>- Ngày mở sổ: 5/10/ 2012</v>
      </c>
      <c r="L84" s="239" t="s">
        <v>135</v>
      </c>
    </row>
    <row r="85" spans="1:12">
      <c r="I85" s="184" t="str">
        <f ca="1">"Ngày "&amp;IF(OR($L$11=4,$L$11=6,$L$11=9,$L$11=11),"30",IF($L$11=2,"28","31"))&amp;" tháng "&amp;$O$11&amp;"  năm  "&amp;YEAR($A$14)</f>
        <v>Ngày 31 tháng 12  năm  2012</v>
      </c>
      <c r="L85" s="239" t="s">
        <v>153</v>
      </c>
    </row>
    <row r="86" spans="1:12" s="130" customFormat="1" ht="14.25">
      <c r="C86" s="130" t="s">
        <v>11</v>
      </c>
      <c r="E86" s="130" t="s">
        <v>12</v>
      </c>
      <c r="I86" s="130" t="s">
        <v>109</v>
      </c>
    </row>
    <row r="87" spans="1:12" s="131" customFormat="1">
      <c r="C87" s="131" t="s">
        <v>13</v>
      </c>
      <c r="E87" s="131" t="s">
        <v>13</v>
      </c>
      <c r="I87" s="131" t="s">
        <v>136</v>
      </c>
    </row>
    <row r="88" spans="1:12" s="131" customFormat="1"/>
    <row r="89" spans="1:12" s="131" customFormat="1"/>
    <row r="90" spans="1:12" s="131" customFormat="1"/>
    <row r="91" spans="1:12" s="131" customFormat="1"/>
    <row r="94" spans="1:12" ht="15.75">
      <c r="C94" s="214"/>
      <c r="I94" s="215"/>
    </row>
    <row r="95" spans="1:12">
      <c r="E95" s="106">
        <f ca="1">SUMIF($D$14:$D$36,#REF!,H14:H36)</f>
        <v>0</v>
      </c>
    </row>
    <row r="98" spans="1:10">
      <c r="A98" s="106">
        <v>2</v>
      </c>
      <c r="B98" s="106">
        <v>3</v>
      </c>
      <c r="C98" s="106">
        <v>4</v>
      </c>
      <c r="D98" s="106">
        <v>5</v>
      </c>
      <c r="E98" s="106">
        <v>6</v>
      </c>
      <c r="F98" s="106">
        <v>9</v>
      </c>
      <c r="G98" s="106">
        <v>10</v>
      </c>
      <c r="H98" s="106">
        <v>11</v>
      </c>
      <c r="I98" s="106">
        <v>12</v>
      </c>
      <c r="J98" s="106">
        <v>13</v>
      </c>
    </row>
  </sheetData>
  <autoFilter ref="A12:J81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78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27"/>
  <sheetViews>
    <sheetView workbookViewId="0">
      <pane ySplit="27" topLeftCell="A28" activePane="bottomLeft" state="frozen"/>
      <selection activeCell="B1" sqref="B1:B2"/>
      <selection pane="bottomLeft" activeCell="S4" sqref="S4"/>
    </sheetView>
  </sheetViews>
  <sheetFormatPr defaultRowHeight="12.75"/>
  <cols>
    <col min="1" max="1" width="3.7109375" customWidth="1"/>
    <col min="2" max="2" width="5.28515625" customWidth="1"/>
    <col min="3" max="3" width="15.140625" customWidth="1"/>
    <col min="4" max="4" width="16" customWidth="1"/>
    <col min="5" max="5" width="3.85546875" customWidth="1"/>
    <col min="6" max="6" width="6" customWidth="1"/>
    <col min="7" max="8" width="6.7109375" customWidth="1"/>
    <col min="9" max="9" width="10.42578125" customWidth="1"/>
    <col min="10" max="10" width="5.85546875" customWidth="1"/>
    <col min="11" max="11" width="8.28515625" customWidth="1"/>
    <col min="12" max="12" width="5" customWidth="1"/>
    <col min="13" max="13" width="6.42578125" customWidth="1"/>
    <col min="14" max="14" width="3.140625" customWidth="1"/>
    <col min="15" max="15" width="6.42578125" customWidth="1"/>
    <col min="16" max="16" width="5" customWidth="1"/>
    <col min="17" max="17" width="6.7109375" customWidth="1"/>
    <col min="18" max="18" width="1.5703125" customWidth="1"/>
    <col min="19" max="19" width="5.7109375" customWidth="1"/>
    <col min="20" max="20" width="1.5703125" customWidth="1"/>
    <col min="21" max="21" width="5" customWidth="1"/>
    <col min="22" max="22" width="1.5703125" customWidth="1"/>
    <col min="23" max="23" width="5.5703125" customWidth="1"/>
  </cols>
  <sheetData>
    <row r="1" spans="1:23" ht="13.5" customHeight="1">
      <c r="A1" s="58"/>
      <c r="B1" s="56" t="str">
        <f>TH!A1</f>
        <v>Đơn vị: CÔNG TY TNHH MỘT THÀNH VIÊN KHỞI NGUYÊN AN</v>
      </c>
      <c r="C1" s="67"/>
      <c r="D1" s="57"/>
      <c r="E1" s="57"/>
      <c r="F1" s="57"/>
      <c r="G1" s="57"/>
      <c r="H1" s="58"/>
      <c r="I1" s="59"/>
      <c r="J1" s="58"/>
      <c r="K1" s="58"/>
      <c r="L1" s="60" t="str">
        <f>+IF(LEFT($U$4,1)="T","Mẫu số 01 - TT","Mẫu số 02 - TT")</f>
        <v>Mẫu số 02 - TT</v>
      </c>
      <c r="M1" s="58"/>
      <c r="N1" s="61"/>
      <c r="O1" s="61"/>
      <c r="P1" s="62"/>
      <c r="Q1" s="63"/>
      <c r="R1" s="63"/>
      <c r="S1" s="63"/>
      <c r="T1" s="63"/>
      <c r="U1" s="63"/>
      <c r="V1" s="64"/>
      <c r="W1" s="63"/>
    </row>
    <row r="2" spans="1:23" ht="13.5" customHeight="1">
      <c r="A2" s="58"/>
      <c r="B2" s="801" t="str">
        <f>TH!A2</f>
        <v>Địa chỉ: Thửa đất số 144, tờ bản đồ số 12TĐH.1, tổ 1, khu phố Đông Tác, Phường Tân Đông Hiệp, Thị Xã Dĩ An, Tỉnh Bình Dương, Việt Nam</v>
      </c>
      <c r="C2" s="801"/>
      <c r="D2" s="801"/>
      <c r="E2" s="801"/>
      <c r="F2" s="801"/>
      <c r="G2" s="801"/>
      <c r="H2" s="801"/>
      <c r="I2" s="801"/>
      <c r="J2" s="58"/>
      <c r="K2" s="58"/>
      <c r="L2" s="68" t="str">
        <f>IF($Q$4&gt;=2015,"(Ban hành theo Thông tư số 200/2014/TT-BTC ","(Ban hành kèm theo QĐ 48/2006/QĐ-BTC")</f>
        <v>(Ban hành kèm theo QĐ 48/2006/QĐ-BTC</v>
      </c>
      <c r="M2" s="58"/>
      <c r="N2" s="69"/>
      <c r="O2" s="69"/>
      <c r="P2" s="62"/>
      <c r="Q2" s="63"/>
      <c r="R2" s="63"/>
      <c r="S2" s="63"/>
      <c r="T2" s="63"/>
      <c r="U2" s="63"/>
      <c r="V2" s="70"/>
      <c r="W2" s="71" t="s">
        <v>104</v>
      </c>
    </row>
    <row r="3" spans="1:23" ht="13.5" customHeight="1" thickBot="1">
      <c r="A3" s="58"/>
      <c r="B3" s="801"/>
      <c r="C3" s="801"/>
      <c r="D3" s="801"/>
      <c r="E3" s="801"/>
      <c r="F3" s="801"/>
      <c r="G3" s="801"/>
      <c r="H3" s="801"/>
      <c r="I3" s="801"/>
      <c r="J3" s="58"/>
      <c r="K3" s="58"/>
      <c r="L3" s="68" t="str">
        <f>IF($Q$4=2015,"Ngày 22/12/2014 của Bộ Tài chính)","ngày 24/09/2006 của Bộ trưởng BTC)")</f>
        <v>ngày 24/09/2006 của Bộ trưởng BTC)</v>
      </c>
      <c r="M3" s="58"/>
      <c r="N3" s="69"/>
      <c r="O3" s="69"/>
      <c r="P3" s="72"/>
      <c r="Q3" s="465"/>
      <c r="R3" s="189"/>
      <c r="S3" s="190" t="s">
        <v>273</v>
      </c>
      <c r="T3" s="189"/>
      <c r="U3" s="190" t="s">
        <v>105</v>
      </c>
      <c r="V3" s="70"/>
      <c r="W3" s="71" t="s">
        <v>105</v>
      </c>
    </row>
    <row r="4" spans="1:23" ht="22.5" thickBot="1">
      <c r="A4" s="58"/>
      <c r="B4" s="67"/>
      <c r="C4" s="57"/>
      <c r="D4" s="57"/>
      <c r="E4" s="57"/>
      <c r="F4" s="58"/>
      <c r="G4" s="73"/>
      <c r="H4" s="74" t="str">
        <f>IF(LEFT($U$4,1)="T","PHIẾU THU","PHIẾU CHI")</f>
        <v>PHIẾU CHI</v>
      </c>
      <c r="I4" s="58"/>
      <c r="J4" s="73"/>
      <c r="K4" s="75"/>
      <c r="L4" s="58"/>
      <c r="M4" s="75"/>
      <c r="N4" s="75"/>
      <c r="O4" s="75"/>
      <c r="P4" s="76"/>
      <c r="Q4" s="466"/>
      <c r="R4" s="77"/>
      <c r="S4" s="518">
        <v>4</v>
      </c>
      <c r="T4" s="77"/>
      <c r="U4" s="467" t="s">
        <v>4</v>
      </c>
      <c r="V4" s="102"/>
      <c r="W4" s="468">
        <v>1</v>
      </c>
    </row>
    <row r="5" spans="1:23" ht="15">
      <c r="A5" s="58"/>
      <c r="B5" s="67"/>
      <c r="C5" s="57"/>
      <c r="D5" s="57"/>
      <c r="E5" s="57"/>
      <c r="F5" s="58"/>
      <c r="G5" s="73"/>
      <c r="H5" s="78" t="str">
        <f>IF(ISNA(VLOOKUP($M$7,TM,3,0)),"","Ngày  "&amp;DAY(VLOOKUP($M$7,TM,3,0))&amp;"  tháng  "&amp;MONTH(VLOOKUP($M$7,TM,3,0))&amp;"  năm  "&amp;YEAR(VLOOKUP($M$7,TM,3,0)))</f>
        <v>Ngày  13  tháng  10  năm  2012</v>
      </c>
      <c r="I5" s="58"/>
      <c r="J5" s="73"/>
      <c r="K5" s="75"/>
      <c r="L5" s="58"/>
      <c r="M5" s="75"/>
      <c r="N5" s="75"/>
      <c r="O5" s="75"/>
      <c r="P5" s="76"/>
      <c r="Q5" s="465"/>
      <c r="R5" s="58"/>
      <c r="S5" s="58"/>
      <c r="T5" s="58"/>
      <c r="U5" s="58"/>
      <c r="V5" s="66"/>
      <c r="W5" s="71"/>
    </row>
    <row r="6" spans="1:23" ht="13.5">
      <c r="A6" s="81"/>
      <c r="B6" s="79"/>
      <c r="C6" s="80"/>
      <c r="D6" s="80"/>
      <c r="E6" s="80"/>
      <c r="F6" s="81"/>
      <c r="G6" s="82"/>
      <c r="H6" s="82"/>
      <c r="I6" s="82"/>
      <c r="J6" s="81"/>
      <c r="K6" s="81"/>
      <c r="L6" s="83" t="str">
        <f>"Quyển số: 0"&amp;$S$4</f>
        <v>Quyển số: 04</v>
      </c>
      <c r="M6" s="81"/>
      <c r="N6" s="81"/>
      <c r="O6" s="84"/>
      <c r="P6" s="85"/>
      <c r="Q6" s="81"/>
      <c r="R6" s="81"/>
      <c r="S6" s="81"/>
      <c r="T6" s="81"/>
      <c r="U6" s="81"/>
      <c r="V6" s="86"/>
      <c r="W6" s="71"/>
    </row>
    <row r="7" spans="1:23" ht="13.5" customHeight="1">
      <c r="A7" s="81"/>
      <c r="B7" s="81"/>
      <c r="C7" s="81"/>
      <c r="D7" s="81"/>
      <c r="E7" s="79"/>
      <c r="F7" s="82"/>
      <c r="G7" s="82"/>
      <c r="H7" s="82"/>
      <c r="I7" s="82"/>
      <c r="J7" s="81"/>
      <c r="K7" s="81"/>
      <c r="L7" s="87" t="str">
        <f>"Số :    "</f>
        <v xml:space="preserve">Số :    </v>
      </c>
      <c r="M7" s="88" t="str">
        <f>$U$4&amp;IF($W$4&gt;=10,$W$4,"0"&amp;$W$4)</f>
        <v>C01</v>
      </c>
      <c r="N7" s="84"/>
      <c r="O7" s="84"/>
      <c r="P7" s="85"/>
      <c r="Q7" s="81"/>
      <c r="R7" s="81"/>
      <c r="S7" s="81"/>
      <c r="T7" s="81"/>
      <c r="U7" s="81"/>
      <c r="V7" s="81"/>
      <c r="W7" s="81"/>
    </row>
    <row r="8" spans="1:23" ht="13.5">
      <c r="A8" s="81"/>
      <c r="B8" s="81"/>
      <c r="C8" s="81"/>
      <c r="D8" s="81"/>
      <c r="E8" s="79"/>
      <c r="F8" s="79"/>
      <c r="G8" s="79"/>
      <c r="H8" s="79"/>
      <c r="I8" s="79"/>
      <c r="J8" s="81"/>
      <c r="K8" s="89"/>
      <c r="L8" s="83" t="s">
        <v>106</v>
      </c>
      <c r="M8" s="90" t="str">
        <f>IF($U$4="T","1111",IF($U$4="C",IF(ISNA(VLOOKUP($M$7,TM,13,0)),"",VLOOKUP($M$7,TM,12,0)),""))</f>
        <v>331</v>
      </c>
      <c r="N8" s="84"/>
      <c r="O8" s="84"/>
      <c r="P8" s="91"/>
      <c r="Q8" s="81"/>
      <c r="R8" s="81"/>
      <c r="S8" s="81"/>
      <c r="T8" s="81"/>
      <c r="U8" s="81"/>
      <c r="V8" s="81"/>
      <c r="W8" s="81"/>
    </row>
    <row r="9" spans="1:23" ht="13.5">
      <c r="A9" s="81"/>
      <c r="B9" s="81"/>
      <c r="C9" s="81"/>
      <c r="D9" s="81"/>
      <c r="E9" s="79"/>
      <c r="F9" s="79"/>
      <c r="G9" s="79"/>
      <c r="H9" s="79"/>
      <c r="I9" s="79"/>
      <c r="J9" s="81"/>
      <c r="K9" s="89"/>
      <c r="L9" s="87" t="s">
        <v>107</v>
      </c>
      <c r="M9" s="90" t="str">
        <f>IF($U$4="C","1111",IF($U$4="T",IF(ISNA(VLOOKUP($M$7,TM,12,0)),"",VLOOKUP($M$7,TM,13,0)),""))</f>
        <v>1111</v>
      </c>
      <c r="N9" s="84"/>
      <c r="O9" s="84"/>
      <c r="P9" s="91"/>
      <c r="Q9" s="81"/>
      <c r="R9" s="81"/>
      <c r="S9" s="81"/>
      <c r="T9" s="81"/>
      <c r="U9" s="81"/>
      <c r="V9" s="81"/>
      <c r="W9" s="81"/>
    </row>
    <row r="10" spans="1:23" ht="15">
      <c r="A10" s="81"/>
      <c r="B10" s="81"/>
      <c r="C10" s="92" t="str">
        <f>IF($U$4="T","Họ tên người nộp tiền :","Họ và tên người nhận tiền :")&amp;" "&amp;IF(ISNA(VLOOKUP($M$7,TM,8,0)),"",VLOOKUP($M$7,TM,8,0))</f>
        <v>Họ và tên người nhận tiền : Cty TNHH SX TM Và Dịch Vụ Phúc Vinh</v>
      </c>
      <c r="D10" s="79"/>
      <c r="E10" s="81"/>
      <c r="F10" s="79"/>
      <c r="G10" s="79"/>
      <c r="H10" s="79"/>
      <c r="I10" s="79"/>
      <c r="J10" s="81"/>
      <c r="K10" s="79"/>
      <c r="L10" s="87"/>
      <c r="M10" s="90"/>
      <c r="N10" s="84"/>
      <c r="O10" s="79"/>
      <c r="P10" s="85"/>
      <c r="Q10" s="81"/>
      <c r="R10" s="81"/>
      <c r="S10" s="81"/>
      <c r="T10" s="81"/>
      <c r="U10" s="81"/>
      <c r="V10" s="81"/>
      <c r="W10" s="81"/>
    </row>
    <row r="11" spans="1:23" ht="15">
      <c r="A11" s="58"/>
      <c r="B11" s="58"/>
      <c r="C11" s="92" t="str">
        <f>"Địa chỉ :"</f>
        <v>Địa chỉ :</v>
      </c>
      <c r="D11" s="58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72"/>
      <c r="Q11" s="58"/>
      <c r="R11" s="58"/>
      <c r="S11" s="58"/>
      <c r="T11" s="58"/>
      <c r="U11" s="58"/>
      <c r="V11" s="58"/>
      <c r="W11" s="58"/>
    </row>
    <row r="12" spans="1:23" ht="15">
      <c r="A12" s="58"/>
      <c r="B12" s="58"/>
      <c r="C12" s="92" t="str">
        <f>IF($U$4="T","Lý do nộp :","Lý do chi :")&amp;" "&amp;IF(ISNA(VLOOKUP($M$7,TM,6,0)),"",VLOOKUP($M$7,TM,6,0))</f>
        <v>Lý do chi : Thanh toán tiền hàng</v>
      </c>
      <c r="D12" s="58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3"/>
      <c r="Q12" s="58"/>
      <c r="R12" s="58"/>
      <c r="S12" s="58"/>
      <c r="T12" s="58"/>
      <c r="U12" s="58"/>
      <c r="V12" s="58"/>
      <c r="W12" s="58"/>
    </row>
    <row r="13" spans="1:23" ht="15">
      <c r="A13" s="58"/>
      <c r="B13" s="58"/>
      <c r="C13" s="58" t="s">
        <v>118</v>
      </c>
      <c r="D13" s="94">
        <f ca="1">SUMIF(TM,$M$7,TH)</f>
        <v>7012500</v>
      </c>
      <c r="E13" s="58" t="s">
        <v>108</v>
      </c>
      <c r="F13" s="94"/>
      <c r="G13" s="94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</row>
    <row r="14" spans="1:23" ht="15">
      <c r="A14" s="58"/>
      <c r="B14" s="58"/>
      <c r="C14" s="58" t="str">
        <f ca="1">"Viết bằng chữ: " &amp;[3]!VND('IN-TC'!D13, TRUE)</f>
        <v>Viết bằng chữ: Bảy triệu, không trăm mười hai ngàn, năm trăm đồng</v>
      </c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72"/>
      <c r="Q14" s="58"/>
      <c r="R14" s="58"/>
      <c r="S14" s="58"/>
      <c r="T14" s="58"/>
      <c r="U14" s="58"/>
      <c r="V14" s="58"/>
      <c r="W14" s="58"/>
    </row>
    <row r="15" spans="1:23" ht="15">
      <c r="A15" s="58"/>
      <c r="B15" s="58"/>
      <c r="C15" s="92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0000817     chứng từ gốc. </v>
      </c>
      <c r="D15" s="92"/>
      <c r="E15" s="58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5"/>
      <c r="Q15" s="58"/>
      <c r="R15" s="58"/>
      <c r="S15" s="58"/>
      <c r="T15" s="58"/>
      <c r="U15" s="58"/>
      <c r="V15" s="58"/>
      <c r="W15" s="58"/>
    </row>
    <row r="16" spans="1:23" ht="15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96"/>
      <c r="L16" s="96"/>
      <c r="M16" s="103" t="str">
        <f>H5</f>
        <v>Ngày  13  tháng  10  năm  2012</v>
      </c>
      <c r="N16" s="96"/>
      <c r="O16" s="96"/>
      <c r="P16" s="58"/>
      <c r="Q16" s="58"/>
      <c r="R16" s="58"/>
      <c r="S16" s="58"/>
      <c r="T16" s="58"/>
      <c r="U16" s="58"/>
      <c r="V16" s="58"/>
      <c r="W16" s="58"/>
    </row>
    <row r="17" spans="1:23" ht="15">
      <c r="A17" s="58"/>
      <c r="B17" s="58"/>
      <c r="C17" s="97" t="s">
        <v>109</v>
      </c>
      <c r="D17" s="98"/>
      <c r="E17" s="97" t="s">
        <v>12</v>
      </c>
      <c r="F17" s="98"/>
      <c r="G17" s="98"/>
      <c r="H17" s="97" t="str">
        <f>IF($U$4="C","Thủ quỹ","Người nộp tiền")</f>
        <v>Thủ quỹ</v>
      </c>
      <c r="I17" s="58"/>
      <c r="J17" s="97" t="s">
        <v>110</v>
      </c>
      <c r="K17" s="98"/>
      <c r="L17" s="58"/>
      <c r="M17" s="99" t="str">
        <f>IF($U$4="T","Thủ quỹ","Người nhận tiền")</f>
        <v>Người nhận tiền</v>
      </c>
      <c r="N17" s="100"/>
      <c r="O17" s="100"/>
      <c r="P17" s="58"/>
      <c r="Q17" s="58"/>
      <c r="R17" s="58"/>
      <c r="S17" s="58"/>
      <c r="T17" s="58"/>
      <c r="U17" s="58"/>
      <c r="V17" s="58"/>
      <c r="W17" s="58"/>
    </row>
    <row r="18" spans="1:23" ht="15">
      <c r="A18" s="98"/>
      <c r="B18" s="98"/>
      <c r="C18" s="101" t="s">
        <v>111</v>
      </c>
      <c r="D18" s="58"/>
      <c r="E18" s="101" t="s">
        <v>112</v>
      </c>
      <c r="F18" s="58"/>
      <c r="G18" s="58"/>
      <c r="H18" s="101" t="s">
        <v>112</v>
      </c>
      <c r="I18" s="98"/>
      <c r="J18" s="101" t="s">
        <v>112</v>
      </c>
      <c r="K18" s="58"/>
      <c r="L18" s="98"/>
      <c r="M18" s="101" t="s">
        <v>112</v>
      </c>
      <c r="N18" s="58"/>
      <c r="O18" s="58"/>
      <c r="P18" s="98"/>
      <c r="Q18" s="98"/>
      <c r="R18" s="98"/>
      <c r="S18" s="98"/>
      <c r="T18" s="98"/>
      <c r="U18" s="98"/>
      <c r="V18" s="98"/>
      <c r="W18" s="98"/>
    </row>
    <row r="19" spans="1:23" ht="15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</row>
    <row r="20" spans="1:23" ht="15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</row>
    <row r="21" spans="1:23" ht="15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</row>
    <row r="22" spans="1:23" ht="15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</row>
    <row r="23" spans="1:23" ht="15">
      <c r="A23" s="58"/>
      <c r="B23" s="58"/>
      <c r="C23" s="58"/>
      <c r="D23" s="58"/>
      <c r="E23" s="58"/>
      <c r="F23" s="58"/>
      <c r="G23" s="58"/>
      <c r="H23" s="58"/>
      <c r="I23" s="65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</row>
    <row r="24" spans="1:23" ht="15">
      <c r="A24" s="58"/>
      <c r="B24" s="58"/>
      <c r="C24" s="200"/>
      <c r="D24" s="58"/>
      <c r="E24" s="58"/>
      <c r="F24" s="58"/>
      <c r="G24" s="58"/>
      <c r="H24" s="200"/>
      <c r="I24" s="58"/>
      <c r="J24" s="200"/>
      <c r="K24" s="58"/>
      <c r="L24" s="58"/>
      <c r="M24" s="200"/>
      <c r="N24" s="58"/>
      <c r="O24" s="58"/>
      <c r="P24" s="58"/>
      <c r="Q24" s="58"/>
      <c r="R24" s="58"/>
      <c r="S24" s="58"/>
      <c r="T24" s="58"/>
      <c r="U24" s="58"/>
      <c r="V24" s="58"/>
      <c r="W24" s="58"/>
    </row>
    <row r="25" spans="1:23" ht="15">
      <c r="A25" s="58"/>
      <c r="B25" s="58" t="s">
        <v>113</v>
      </c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</row>
    <row r="26" spans="1:23" ht="15">
      <c r="A26" s="58"/>
      <c r="B26" s="92"/>
      <c r="C26" s="92" t="s">
        <v>114</v>
      </c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58"/>
      <c r="Q26" s="58"/>
      <c r="R26" s="58"/>
      <c r="S26" s="58"/>
      <c r="T26" s="58"/>
      <c r="U26" s="58"/>
      <c r="V26" s="58"/>
      <c r="W26" s="58"/>
    </row>
    <row r="27" spans="1:23" ht="15">
      <c r="A27" s="58"/>
      <c r="B27" s="92"/>
      <c r="C27" s="92" t="s">
        <v>115</v>
      </c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58"/>
      <c r="Q27" s="58"/>
      <c r="R27" s="58"/>
      <c r="S27" s="58"/>
      <c r="T27" s="58"/>
      <c r="U27" s="58"/>
      <c r="V27" s="58"/>
      <c r="W27" s="58"/>
    </row>
  </sheetData>
  <dataConsolidate/>
  <mergeCells count="1">
    <mergeCell ref="B2:I3"/>
  </mergeCells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37"/>
  <sheetViews>
    <sheetView topLeftCell="A6" workbookViewId="0">
      <pane ySplit="6" topLeftCell="A18" activePane="bottomLeft" state="frozen"/>
      <selection activeCell="A6" sqref="A6"/>
      <selection pane="bottomLeft" activeCell="A86" sqref="A30:XFD86"/>
    </sheetView>
  </sheetViews>
  <sheetFormatPr defaultRowHeight="15.75"/>
  <cols>
    <col min="1" max="1" width="7.7109375" style="170" customWidth="1"/>
    <col min="2" max="2" width="6" style="171" customWidth="1"/>
    <col min="3" max="3" width="7.7109375" style="170" customWidth="1"/>
    <col min="4" max="4" width="38.7109375" style="169" customWidth="1"/>
    <col min="5" max="5" width="7.5703125" style="169" customWidth="1"/>
    <col min="6" max="6" width="14.28515625" style="169" customWidth="1"/>
    <col min="7" max="7" width="14.5703125" style="169" customWidth="1"/>
    <col min="8" max="8" width="14.7109375" style="418" customWidth="1"/>
    <col min="9" max="9" width="6.5703125" style="169" customWidth="1"/>
    <col min="10" max="10" width="2.85546875" style="169" customWidth="1"/>
    <col min="11" max="11" width="9.140625" style="169" customWidth="1"/>
    <col min="12" max="12" width="3.28515625" style="169" customWidth="1"/>
    <col min="13" max="13" width="8" style="169" customWidth="1"/>
    <col min="14" max="15" width="3.85546875" style="169" hidden="1" customWidth="1"/>
    <col min="16" max="16" width="1.7109375" style="169" customWidth="1"/>
    <col min="17" max="17" width="12.85546875" style="169" bestFit="1" customWidth="1"/>
    <col min="18" max="18" width="12.7109375" style="169" customWidth="1"/>
    <col min="19" max="19" width="15.140625" style="169" customWidth="1"/>
    <col min="20" max="20" width="12" style="169" bestFit="1" customWidth="1"/>
    <col min="21" max="16384" width="9.140625" style="169"/>
  </cols>
  <sheetData>
    <row r="1" spans="1:20" s="135" customFormat="1" ht="16.5" customHeight="1">
      <c r="A1" s="87" t="str">
        <f>TH!A1</f>
        <v>Đơn vị: CÔNG TY TNHH MỘT THÀNH VIÊN KHỞI NGUYÊN AN</v>
      </c>
      <c r="B1" s="136"/>
      <c r="C1" s="137"/>
      <c r="F1" s="218"/>
      <c r="G1" s="220" t="s">
        <v>154</v>
      </c>
      <c r="H1" s="499"/>
      <c r="I1" s="218"/>
      <c r="K1" s="690"/>
      <c r="L1" s="690"/>
    </row>
    <row r="2" spans="1:20" s="135" customFormat="1" ht="16.5" customHeight="1">
      <c r="A2" s="221" t="str">
        <f>TH!A2</f>
        <v>Địa chỉ: Thửa đất số 144, tờ bản đồ số 12TĐH.1, tổ 1, khu phố Đông Tác, Phường Tân Đông Hiệp, Thị Xã Dĩ An, Tỉnh Bình Dương, Việt Nam</v>
      </c>
      <c r="B2" s="172"/>
      <c r="C2" s="172"/>
      <c r="D2" s="172"/>
      <c r="F2" s="802" t="str">
        <f ca="1">IF(YEAR($A$12)&gt;=2015,"(Ban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802"/>
      <c r="H2" s="802"/>
      <c r="I2" s="219"/>
      <c r="K2" s="691"/>
      <c r="L2" s="691"/>
    </row>
    <row r="3" spans="1:20" s="135" customFormat="1" ht="16.5" customHeight="1">
      <c r="A3" s="172"/>
      <c r="B3" s="172"/>
      <c r="C3" s="172"/>
      <c r="D3" s="172"/>
      <c r="F3" s="802"/>
      <c r="G3" s="802"/>
      <c r="H3" s="802"/>
      <c r="I3" s="219"/>
    </row>
    <row r="4" spans="1:20" s="135" customFormat="1" ht="19.5" customHeight="1">
      <c r="A4" s="805" t="s">
        <v>137</v>
      </c>
      <c r="B4" s="805"/>
      <c r="C4" s="805"/>
      <c r="D4" s="805"/>
      <c r="E4" s="805"/>
      <c r="F4" s="805"/>
      <c r="G4" s="805"/>
      <c r="H4" s="805"/>
      <c r="I4" s="805"/>
    </row>
    <row r="5" spans="1:20" s="135" customFormat="1" ht="15">
      <c r="A5" s="806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806"/>
      <c r="C5" s="806"/>
      <c r="D5" s="806"/>
      <c r="E5" s="806"/>
      <c r="F5" s="806"/>
      <c r="G5" s="806"/>
      <c r="H5" s="806"/>
      <c r="I5" s="806"/>
    </row>
    <row r="6" spans="1:20" s="135" customFormat="1" ht="15">
      <c r="D6" s="249" t="s">
        <v>158</v>
      </c>
      <c r="E6" s="806" t="str">
        <f>IF($M$9="ACB","100983119","1004 148 5104 6511")</f>
        <v>1004 148 5104 6511</v>
      </c>
      <c r="F6" s="806"/>
      <c r="G6" s="806"/>
      <c r="H6" s="500" t="s">
        <v>108</v>
      </c>
      <c r="I6" s="250" t="str">
        <f>IF(H6="VNĐ","1121",IF(H6="USD","1122",""))</f>
        <v>1121</v>
      </c>
      <c r="N6" s="796" t="s">
        <v>269</v>
      </c>
      <c r="O6" s="796"/>
      <c r="Q6" s="803" t="s">
        <v>261</v>
      </c>
      <c r="R6" s="803" t="s">
        <v>374</v>
      </c>
      <c r="S6" s="803" t="s">
        <v>270</v>
      </c>
    </row>
    <row r="7" spans="1:20" s="135" customFormat="1" ht="8.25" customHeight="1" thickBot="1">
      <c r="A7" s="138"/>
      <c r="B7" s="139"/>
      <c r="C7" s="138"/>
      <c r="D7" s="139"/>
      <c r="E7" s="139"/>
      <c r="F7" s="139"/>
      <c r="G7" s="139"/>
      <c r="H7" s="501"/>
      <c r="I7" s="139"/>
      <c r="Q7" s="804"/>
      <c r="R7" s="804"/>
      <c r="S7" s="804"/>
    </row>
    <row r="8" spans="1:20" s="140" customFormat="1" ht="22.5" customHeight="1" thickBot="1">
      <c r="A8" s="809" t="s">
        <v>138</v>
      </c>
      <c r="B8" s="811" t="s">
        <v>1</v>
      </c>
      <c r="C8" s="812"/>
      <c r="D8" s="807" t="s">
        <v>0</v>
      </c>
      <c r="E8" s="813" t="s">
        <v>14</v>
      </c>
      <c r="F8" s="815" t="s">
        <v>139</v>
      </c>
      <c r="G8" s="815"/>
      <c r="H8" s="812"/>
      <c r="I8" s="807" t="s">
        <v>127</v>
      </c>
      <c r="K8" s="133"/>
      <c r="L8" s="135"/>
      <c r="N8" s="507">
        <f>IF(K9="Quý I",1,IF(K9="Quý II",4,IF(K9="Quý III",7,IF(K9="Quý IV",10,""))))</f>
        <v>10</v>
      </c>
      <c r="O8" s="508">
        <f>IF(K9="Quý I",3,IF(K9="Quý II",6,IF(K9="Quý III",9,IF(K9="Quý IV",12,""))))</f>
        <v>12</v>
      </c>
      <c r="Q8" s="452" t="s">
        <v>262</v>
      </c>
      <c r="R8" s="453">
        <v>0</v>
      </c>
      <c r="S8" s="453"/>
      <c r="T8" s="454">
        <f>SUM(R8:S8)</f>
        <v>0</v>
      </c>
    </row>
    <row r="9" spans="1:20" s="140" customFormat="1" ht="22.5" customHeight="1" thickBot="1">
      <c r="A9" s="810"/>
      <c r="B9" s="141" t="s">
        <v>15</v>
      </c>
      <c r="C9" s="142" t="s">
        <v>140</v>
      </c>
      <c r="D9" s="808"/>
      <c r="E9" s="814"/>
      <c r="F9" s="244" t="s">
        <v>141</v>
      </c>
      <c r="G9" s="143" t="s">
        <v>142</v>
      </c>
      <c r="H9" s="502" t="s">
        <v>143</v>
      </c>
      <c r="I9" s="808"/>
      <c r="K9" s="173" t="s">
        <v>336</v>
      </c>
      <c r="L9" s="135"/>
      <c r="M9" s="451" t="s">
        <v>374</v>
      </c>
      <c r="Q9" s="146"/>
      <c r="R9" s="146"/>
      <c r="S9" s="146"/>
      <c r="T9" s="146"/>
    </row>
    <row r="10" spans="1:20" s="146" customFormat="1" ht="15">
      <c r="A10" s="144" t="s">
        <v>2</v>
      </c>
      <c r="B10" s="145" t="s">
        <v>3</v>
      </c>
      <c r="C10" s="144" t="s">
        <v>4</v>
      </c>
      <c r="D10" s="145" t="s">
        <v>5</v>
      </c>
      <c r="E10" s="145" t="s">
        <v>6</v>
      </c>
      <c r="F10" s="145">
        <v>1</v>
      </c>
      <c r="G10" s="145">
        <v>2</v>
      </c>
      <c r="H10" s="145">
        <v>3</v>
      </c>
      <c r="I10" s="145" t="s">
        <v>130</v>
      </c>
      <c r="L10" s="135"/>
      <c r="Q10" s="150"/>
      <c r="R10" s="150"/>
      <c r="S10" s="150"/>
      <c r="T10" s="150"/>
    </row>
    <row r="11" spans="1:20" s="150" customFormat="1" ht="18.75" customHeight="1">
      <c r="A11" s="147"/>
      <c r="B11" s="148"/>
      <c r="C11" s="147"/>
      <c r="D11" s="149" t="s">
        <v>7</v>
      </c>
      <c r="E11" s="149"/>
      <c r="F11" s="458"/>
      <c r="G11" s="458"/>
      <c r="H11" s="458">
        <f>IF($M$9="VCB",$R$8,$S$8)+SUMIF(_N112,"x",TH)-SUMIF(_C112,"x",TH)</f>
        <v>21520176</v>
      </c>
      <c r="I11" s="455"/>
      <c r="L11" s="135"/>
      <c r="Q11" s="140"/>
      <c r="R11" s="140"/>
      <c r="S11" s="140"/>
      <c r="T11" s="140"/>
    </row>
    <row r="12" spans="1:20" s="140" customFormat="1" ht="18.75" customHeight="1">
      <c r="A12" s="151">
        <f ca="1">IF(ROWS($1:1)&gt;COUNT(Dong2),"",OFFSET(TH!C$1,SMALL(Dong2,ROWS($1:1)),))</f>
        <v>41183</v>
      </c>
      <c r="B12" s="151" t="str">
        <f ca="1">IF(ROWS($1:1)&gt;COUNT(Dong2),"",OFFSET(TH!D$1,SMALL(Dong2,ROWS($1:1)),))</f>
        <v>GBC</v>
      </c>
      <c r="C12" s="151">
        <f ca="1">IF(ROWS($1:1)&gt;COUNT(Dong2),"",OFFSET(TH!E$1,SMALL(Dong2,ROWS($1:1)),))</f>
        <v>41183</v>
      </c>
      <c r="D12" s="222" t="str">
        <f ca="1">IF(ROWS($1:1)&gt;COUNT(Dong2),"",OFFSET(TH!F$1,SMALL(Dong2,ROWS($1:1)),))</f>
        <v>Thu tiền hàng</v>
      </c>
      <c r="E12" s="151" t="str">
        <f ca="1">IF(ROWS($1:1)&gt;COUNT(Dong2),"",IF(OFFSET(TH!M$1,SMALL(Dong2,ROWS($1:1)),)=$I$6,OFFSET(TH!L$1,SMALL(Dong2,ROWS($1:1)),),OFFSET(TH!M$1,SMALL(Dong2,ROWS($1:1)),)))</f>
        <v>131</v>
      </c>
      <c r="F12" s="459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8024412</v>
      </c>
      <c r="G12" s="459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0</v>
      </c>
      <c r="H12" s="509">
        <f ca="1">IF(A12&lt;&gt;"",H11+F12-G12,0)</f>
        <v>29544588</v>
      </c>
      <c r="I12" s="456"/>
      <c r="L12" s="135"/>
    </row>
    <row r="13" spans="1:20" s="140" customFormat="1" ht="18.75" customHeight="1">
      <c r="A13" s="151">
        <f ca="1">IF(ROWS($1:2)&gt;COUNT(Dong2),"",OFFSET(TH!C$1,SMALL(Dong2,ROWS($1:2)),))</f>
        <v>41187</v>
      </c>
      <c r="B13" s="151" t="str">
        <f ca="1">IF(ROWS($1:2)&gt;COUNT(Dong2),"",OFFSET(TH!D$1,SMALL(Dong2,ROWS($1:2)),))</f>
        <v>T01</v>
      </c>
      <c r="C13" s="151">
        <f ca="1">IF(ROWS($1:2)&gt;COUNT(Dong2),"",OFFSET(TH!E$1,SMALL(Dong2,ROWS($1:2)),))</f>
        <v>41187</v>
      </c>
      <c r="D13" s="222" t="str">
        <f ca="1">IF(ROWS($1:2)&gt;COUNT(Dong2),"",OFFSET(TH!F$1,SMALL(Dong2,ROWS($1:2)),))</f>
        <v>Rút sec nhập quỹ tiền mặt</v>
      </c>
      <c r="E13" s="151" t="str">
        <f ca="1">IF(ROWS($1:2)&gt;COUNT(Dong2),"",IF(OFFSET(TH!M$1,SMALL(Dong2,ROWS($1:2)),)=$I$6,OFFSET(TH!L$1,SMALL(Dong2,ROWS($1:2)),),OFFSET(TH!M$1,SMALL(Dong2,ROWS($1:2)),)))</f>
        <v>1111</v>
      </c>
      <c r="F13" s="459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0</v>
      </c>
      <c r="G13" s="459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28000000</v>
      </c>
      <c r="H13" s="509">
        <f t="shared" ref="H13:H29" ca="1" si="0">IF(A13&lt;&gt;"",H12+F13-G13,0)</f>
        <v>1544588</v>
      </c>
      <c r="I13" s="456"/>
      <c r="L13" s="135"/>
    </row>
    <row r="14" spans="1:20" s="140" customFormat="1" ht="18.75" customHeight="1">
      <c r="A14" s="151">
        <f ca="1">IF(ROWS($1:3)&gt;COUNT(Dong2),"",OFFSET(TH!C$1,SMALL(Dong2,ROWS($1:3)),))</f>
        <v>41187</v>
      </c>
      <c r="B14" s="151" t="str">
        <f ca="1">IF(ROWS($1:3)&gt;COUNT(Dong2),"",OFFSET(TH!D$1,SMALL(Dong2,ROWS($1:3)),))</f>
        <v>GBN</v>
      </c>
      <c r="C14" s="151">
        <f ca="1">IF(ROWS($1:3)&gt;COUNT(Dong2),"",OFFSET(TH!E$1,SMALL(Dong2,ROWS($1:3)),))</f>
        <v>41187</v>
      </c>
      <c r="D14" s="222" t="str">
        <f ca="1">IF(ROWS($1:3)&gt;COUNT(Dong2),"",OFFSET(TH!F$1,SMALL(Dong2,ROWS($1:3)),))</f>
        <v>Phí cấp sec</v>
      </c>
      <c r="E14" s="151" t="str">
        <f ca="1">IF(ROWS($1:3)&gt;COUNT(Dong2),"",IF(OFFSET(TH!M$1,SMALL(Dong2,ROWS($1:3)),)=$I$6,OFFSET(TH!L$1,SMALL(Dong2,ROWS($1:3)),),OFFSET(TH!M$1,SMALL(Dong2,ROWS($1:3)),)))</f>
        <v>642</v>
      </c>
      <c r="F14" s="459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459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20000</v>
      </c>
      <c r="H14" s="509">
        <f t="shared" ca="1" si="0"/>
        <v>1524588</v>
      </c>
      <c r="I14" s="456"/>
      <c r="L14" s="135"/>
    </row>
    <row r="15" spans="1:20" s="140" customFormat="1" ht="18.75" customHeight="1">
      <c r="A15" s="151">
        <f ca="1">IF(ROWS($1:4)&gt;COUNT(Dong2),"",OFFSET(TH!C$1,SMALL(Dong2,ROWS($1:4)),))</f>
        <v>41187</v>
      </c>
      <c r="B15" s="151" t="str">
        <f ca="1">IF(ROWS($1:4)&gt;COUNT(Dong2),"",OFFSET(TH!D$1,SMALL(Dong2,ROWS($1:4)),))</f>
        <v>GBN</v>
      </c>
      <c r="C15" s="151">
        <f ca="1">IF(ROWS($1:4)&gt;COUNT(Dong2),"",OFFSET(TH!E$1,SMALL(Dong2,ROWS($1:4)),))</f>
        <v>41187</v>
      </c>
      <c r="D15" s="222" t="str">
        <f ca="1">IF(ROWS($1:4)&gt;COUNT(Dong2),"",OFFSET(TH!F$1,SMALL(Dong2,ROWS($1:4)),))</f>
        <v>VAT Phí cấp sec</v>
      </c>
      <c r="E15" s="151" t="str">
        <f ca="1">IF(ROWS($1:4)&gt;COUNT(Dong2),"",IF(OFFSET(TH!M$1,SMALL(Dong2,ROWS($1:4)),)=$I$6,OFFSET(TH!L$1,SMALL(Dong2,ROWS($1:4)),),OFFSET(TH!M$1,SMALL(Dong2,ROWS($1:4)),)))</f>
        <v>1331</v>
      </c>
      <c r="F15" s="459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459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2000</v>
      </c>
      <c r="H15" s="509">
        <f t="shared" ca="1" si="0"/>
        <v>1522588</v>
      </c>
      <c r="I15" s="456"/>
      <c r="L15" s="135"/>
    </row>
    <row r="16" spans="1:20" s="140" customFormat="1" ht="18.75" customHeight="1">
      <c r="A16" s="151">
        <f ca="1">IF(ROWS($1:5)&gt;COUNT(Dong2),"",OFFSET(TH!C$1,SMALL(Dong2,ROWS($1:5)),))</f>
        <v>41198</v>
      </c>
      <c r="B16" s="151" t="str">
        <f ca="1">IF(ROWS($1:5)&gt;COUNT(Dong2),"",OFFSET(TH!D$1,SMALL(Dong2,ROWS($1:5)),))</f>
        <v>GBC</v>
      </c>
      <c r="C16" s="151">
        <f ca="1">IF(ROWS($1:5)&gt;COUNT(Dong2),"",OFFSET(TH!E$1,SMALL(Dong2,ROWS($1:5)),))</f>
        <v>41198</v>
      </c>
      <c r="D16" s="222" t="str">
        <f ca="1">IF(ROWS($1:5)&gt;COUNT(Dong2),"",OFFSET(TH!F$1,SMALL(Dong2,ROWS($1:5)),))</f>
        <v>Thu tiền hàng</v>
      </c>
      <c r="E16" s="151" t="str">
        <f ca="1">IF(ROWS($1:5)&gt;COUNT(Dong2),"",IF(OFFSET(TH!M$1,SMALL(Dong2,ROWS($1:5)),)=$I$6,OFFSET(TH!L$1,SMALL(Dong2,ROWS($1:5)),),OFFSET(TH!M$1,SMALL(Dong2,ROWS($1:5)),)))</f>
        <v>131</v>
      </c>
      <c r="F16" s="459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22732212</v>
      </c>
      <c r="G16" s="459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0</v>
      </c>
      <c r="H16" s="509">
        <f t="shared" ca="1" si="0"/>
        <v>24254800</v>
      </c>
      <c r="I16" s="456"/>
      <c r="L16" s="135"/>
    </row>
    <row r="17" spans="1:20" s="140" customFormat="1" ht="18.75" customHeight="1">
      <c r="A17" s="151">
        <f ca="1">IF(ROWS($1:6)&gt;COUNT(Dong2),"",OFFSET(TH!C$1,SMALL(Dong2,ROWS($1:6)),))</f>
        <v>41206</v>
      </c>
      <c r="B17" s="151" t="str">
        <f ca="1">IF(ROWS($1:6)&gt;COUNT(Dong2),"",OFFSET(TH!D$1,SMALL(Dong2,ROWS($1:6)),))</f>
        <v>GBC</v>
      </c>
      <c r="C17" s="151">
        <f ca="1">IF(ROWS($1:6)&gt;COUNT(Dong2),"",OFFSET(TH!E$1,SMALL(Dong2,ROWS($1:6)),))</f>
        <v>41206</v>
      </c>
      <c r="D17" s="222" t="str">
        <f ca="1">IF(ROWS($1:6)&gt;COUNT(Dong2),"",OFFSET(TH!F$1,SMALL(Dong2,ROWS($1:6)),))</f>
        <v>Thu tiền hàng</v>
      </c>
      <c r="E17" s="151" t="str">
        <f ca="1">IF(ROWS($1:6)&gt;COUNT(Dong2),"",IF(OFFSET(TH!M$1,SMALL(Dong2,ROWS($1:6)),)=$I$6,OFFSET(TH!L$1,SMALL(Dong2,ROWS($1:6)),),OFFSET(TH!M$1,SMALL(Dong2,ROWS($1:6)),)))</f>
        <v>131</v>
      </c>
      <c r="F17" s="459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8294000</v>
      </c>
      <c r="G17" s="459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509">
        <f t="shared" ca="1" si="0"/>
        <v>32548800</v>
      </c>
      <c r="I17" s="456"/>
      <c r="L17" s="135"/>
    </row>
    <row r="18" spans="1:20" s="140" customFormat="1" ht="18.75" customHeight="1">
      <c r="A18" s="151">
        <f ca="1">IF(ROWS($1:7)&gt;COUNT(Dong2),"",OFFSET(TH!C$1,SMALL(Dong2,ROWS($1:7)),))</f>
        <v>41207</v>
      </c>
      <c r="B18" s="151" t="str">
        <f ca="1">IF(ROWS($1:7)&gt;COUNT(Dong2),"",OFFSET(TH!D$1,SMALL(Dong2,ROWS($1:7)),))</f>
        <v>GBN</v>
      </c>
      <c r="C18" s="151">
        <f ca="1">IF(ROWS($1:7)&gt;COUNT(Dong2),"",OFFSET(TH!E$1,SMALL(Dong2,ROWS($1:7)),))</f>
        <v>41207</v>
      </c>
      <c r="D18" s="222" t="str">
        <f ca="1">IF(ROWS($1:7)&gt;COUNT(Dong2),"",OFFSET(TH!F$1,SMALL(Dong2,ROWS($1:7)),))</f>
        <v>Thu phí quản lý tài khoản</v>
      </c>
      <c r="E18" s="151" t="str">
        <f ca="1">IF(ROWS($1:7)&gt;COUNT(Dong2),"",IF(OFFSET(TH!M$1,SMALL(Dong2,ROWS($1:7)),)=$I$6,OFFSET(TH!L$1,SMALL(Dong2,ROWS($1:7)),),OFFSET(TH!M$1,SMALL(Dong2,ROWS($1:7)),)))</f>
        <v>642</v>
      </c>
      <c r="F18" s="459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459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11000</v>
      </c>
      <c r="H18" s="509">
        <f t="shared" ca="1" si="0"/>
        <v>32537800</v>
      </c>
      <c r="I18" s="456"/>
      <c r="L18" s="135"/>
    </row>
    <row r="19" spans="1:20" s="140" customFormat="1" ht="18.75" customHeight="1">
      <c r="A19" s="151">
        <f ca="1">IF(ROWS($1:8)&gt;COUNT(Dong2),"",OFFSET(TH!C$1,SMALL(Dong2,ROWS($1:8)),))</f>
        <v>41207</v>
      </c>
      <c r="B19" s="151" t="str">
        <f ca="1">IF(ROWS($1:8)&gt;COUNT(Dong2),"",OFFSET(TH!D$1,SMALL(Dong2,ROWS($1:8)),))</f>
        <v>GBC</v>
      </c>
      <c r="C19" s="151">
        <f ca="1">IF(ROWS($1:8)&gt;COUNT(Dong2),"",OFFSET(TH!E$1,SMALL(Dong2,ROWS($1:8)),))</f>
        <v>41207</v>
      </c>
      <c r="D19" s="222" t="str">
        <f ca="1">IF(ROWS($1:8)&gt;COUNT(Dong2),"",OFFSET(TH!F$1,SMALL(Dong2,ROWS($1:8)),))</f>
        <v>Lãi tiền gửi</v>
      </c>
      <c r="E19" s="151" t="str">
        <f ca="1">IF(ROWS($1:8)&gt;COUNT(Dong2),"",IF(OFFSET(TH!M$1,SMALL(Dong2,ROWS($1:8)),)=$I$6,OFFSET(TH!L$1,SMALL(Dong2,ROWS($1:8)),),OFFSET(TH!M$1,SMALL(Dong2,ROWS($1:8)),)))</f>
        <v>515</v>
      </c>
      <c r="F19" s="459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22296</v>
      </c>
      <c r="G19" s="459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0</v>
      </c>
      <c r="H19" s="509">
        <f t="shared" ca="1" si="0"/>
        <v>32560096</v>
      </c>
      <c r="I19" s="456"/>
      <c r="L19" s="135"/>
    </row>
    <row r="20" spans="1:20" s="140" customFormat="1" ht="18.75" customHeight="1">
      <c r="A20" s="151">
        <f ca="1">IF(ROWS($1:9)&gt;COUNT(Dong2),"",OFFSET(TH!C$1,SMALL(Dong2,ROWS($1:9)),))</f>
        <v>41214</v>
      </c>
      <c r="B20" s="151" t="str">
        <f ca="1">IF(ROWS($1:9)&gt;COUNT(Dong2),"",OFFSET(TH!D$1,SMALL(Dong2,ROWS($1:9)),))</f>
        <v>T05</v>
      </c>
      <c r="C20" s="151">
        <f ca="1">IF(ROWS($1:9)&gt;COUNT(Dong2),"",OFFSET(TH!E$1,SMALL(Dong2,ROWS($1:9)),))</f>
        <v>41214</v>
      </c>
      <c r="D20" s="222" t="str">
        <f ca="1">IF(ROWS($1:9)&gt;COUNT(Dong2),"",OFFSET(TH!F$1,SMALL(Dong2,ROWS($1:9)),))</f>
        <v>Rút sec nhập quỹ tiền mặt</v>
      </c>
      <c r="E20" s="151" t="str">
        <f ca="1">IF(ROWS($1:9)&gt;COUNT(Dong2),"",IF(OFFSET(TH!M$1,SMALL(Dong2,ROWS($1:9)),)=$I$6,OFFSET(TH!L$1,SMALL(Dong2,ROWS($1:9)),),OFFSET(TH!M$1,SMALL(Dong2,ROWS($1:9)),)))</f>
        <v>1111</v>
      </c>
      <c r="F20" s="459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0</v>
      </c>
      <c r="G20" s="459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31000000</v>
      </c>
      <c r="H20" s="509">
        <f t="shared" ca="1" si="0"/>
        <v>1560096</v>
      </c>
      <c r="I20" s="456"/>
      <c r="L20" s="135"/>
    </row>
    <row r="21" spans="1:20" s="140" customFormat="1" ht="18.75" customHeight="1">
      <c r="A21" s="151">
        <f ca="1">IF(ROWS($1:10)&gt;COUNT(Dong2),"",OFFSET(TH!C$1,SMALL(Dong2,ROWS($1:10)),))</f>
        <v>41220</v>
      </c>
      <c r="B21" s="151" t="str">
        <f ca="1">IF(ROWS($1:10)&gt;COUNT(Dong2),"",OFFSET(TH!D$1,SMALL(Dong2,ROWS($1:10)),))</f>
        <v>GBC</v>
      </c>
      <c r="C21" s="151">
        <f ca="1">IF(ROWS($1:10)&gt;COUNT(Dong2),"",OFFSET(TH!E$1,SMALL(Dong2,ROWS($1:10)),))</f>
        <v>41220</v>
      </c>
      <c r="D21" s="222" t="str">
        <f ca="1">IF(ROWS($1:10)&gt;COUNT(Dong2),"",OFFSET(TH!F$1,SMALL(Dong2,ROWS($1:10)),))</f>
        <v>Thu tiền hàng</v>
      </c>
      <c r="E21" s="151" t="str">
        <f ca="1">IF(ROWS($1:10)&gt;COUNT(Dong2),"",IF(OFFSET(TH!M$1,SMALL(Dong2,ROWS($1:10)),)=$I$6,OFFSET(TH!L$1,SMALL(Dong2,ROWS($1:10)),),OFFSET(TH!M$1,SMALL(Dong2,ROWS($1:10)),)))</f>
        <v>131</v>
      </c>
      <c r="F21" s="459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6956400</v>
      </c>
      <c r="G21" s="459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0</v>
      </c>
      <c r="H21" s="509">
        <f t="shared" ca="1" si="0"/>
        <v>8516496</v>
      </c>
      <c r="I21" s="456"/>
      <c r="L21" s="135"/>
      <c r="Q21" s="454"/>
    </row>
    <row r="22" spans="1:20" s="140" customFormat="1" ht="18.75" customHeight="1">
      <c r="A22" s="151">
        <f ca="1">IF(ROWS($1:11)&gt;COUNT(Dong2),"",OFFSET(TH!C$1,SMALL(Dong2,ROWS($1:11)),))</f>
        <v>41236</v>
      </c>
      <c r="B22" s="151" t="str">
        <f ca="1">IF(ROWS($1:11)&gt;COUNT(Dong2),"",OFFSET(TH!D$1,SMALL(Dong2,ROWS($1:11)),))</f>
        <v>T11</v>
      </c>
      <c r="C22" s="151">
        <f ca="1">IF(ROWS($1:11)&gt;COUNT(Dong2),"",OFFSET(TH!E$1,SMALL(Dong2,ROWS($1:11)),))</f>
        <v>41236</v>
      </c>
      <c r="D22" s="222" t="str">
        <f ca="1">IF(ROWS($1:11)&gt;COUNT(Dong2),"",OFFSET(TH!F$1,SMALL(Dong2,ROWS($1:11)),))</f>
        <v>Rút sec nhập quỹ tiền mặt</v>
      </c>
      <c r="E22" s="151" t="str">
        <f ca="1">IF(ROWS($1:11)&gt;COUNT(Dong2),"",IF(OFFSET(TH!M$1,SMALL(Dong2,ROWS($1:11)),)=$I$6,OFFSET(TH!L$1,SMALL(Dong2,ROWS($1:11)),),OFFSET(TH!M$1,SMALL(Dong2,ROWS($1:11)),)))</f>
        <v>1111</v>
      </c>
      <c r="F22" s="459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0</v>
      </c>
      <c r="G22" s="459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7500000</v>
      </c>
      <c r="H22" s="509">
        <f t="shared" ca="1" si="0"/>
        <v>1016496</v>
      </c>
      <c r="I22" s="456"/>
      <c r="L22" s="135"/>
    </row>
    <row r="23" spans="1:20" s="140" customFormat="1" ht="18.75" customHeight="1">
      <c r="A23" s="151">
        <f ca="1">IF(ROWS($1:12)&gt;COUNT(Dong2),"",OFFSET(TH!C$1,SMALL(Dong2,ROWS($1:12)),))</f>
        <v>41238</v>
      </c>
      <c r="B23" s="151" t="str">
        <f ca="1">IF(ROWS($1:12)&gt;COUNT(Dong2),"",OFFSET(TH!D$1,SMALL(Dong2,ROWS($1:12)),))</f>
        <v>GBC</v>
      </c>
      <c r="C23" s="151">
        <f ca="1">IF(ROWS($1:12)&gt;COUNT(Dong2),"",OFFSET(TH!E$1,SMALL(Dong2,ROWS($1:12)),))</f>
        <v>41238</v>
      </c>
      <c r="D23" s="222" t="str">
        <f ca="1">IF(ROWS($1:12)&gt;COUNT(Dong2),"",OFFSET(TH!F$1,SMALL(Dong2,ROWS($1:12)),))</f>
        <v>Lãi tiền gửi</v>
      </c>
      <c r="E23" s="151" t="str">
        <f ca="1">IF(ROWS($1:12)&gt;COUNT(Dong2),"",IF(OFFSET(TH!M$1,SMALL(Dong2,ROWS($1:12)),)=$I$6,OFFSET(TH!L$1,SMALL(Dong2,ROWS($1:12)),),OFFSET(TH!M$1,SMALL(Dong2,ROWS($1:12)),)))</f>
        <v>515</v>
      </c>
      <c r="F23" s="459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15290</v>
      </c>
      <c r="G23" s="459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509">
        <f t="shared" ca="1" si="0"/>
        <v>1031786</v>
      </c>
      <c r="I23" s="456"/>
      <c r="L23" s="135"/>
      <c r="Q23" s="498"/>
    </row>
    <row r="24" spans="1:20" s="140" customFormat="1" ht="18.75" customHeight="1">
      <c r="A24" s="151">
        <f ca="1">IF(ROWS($1:13)&gt;COUNT(Dong2),"",OFFSET(TH!C$1,SMALL(Dong2,ROWS($1:13)),))</f>
        <v>41238</v>
      </c>
      <c r="B24" s="151" t="str">
        <f ca="1">IF(ROWS($1:13)&gt;COUNT(Dong2),"",OFFSET(TH!D$1,SMALL(Dong2,ROWS($1:13)),))</f>
        <v>GBN</v>
      </c>
      <c r="C24" s="151">
        <f ca="1">IF(ROWS($1:13)&gt;COUNT(Dong2),"",OFFSET(TH!E$1,SMALL(Dong2,ROWS($1:13)),))</f>
        <v>41238</v>
      </c>
      <c r="D24" s="222" t="str">
        <f ca="1">IF(ROWS($1:13)&gt;COUNT(Dong2),"",OFFSET(TH!F$1,SMALL(Dong2,ROWS($1:13)),))</f>
        <v>Thu phí quản lý tài khoản</v>
      </c>
      <c r="E24" s="151" t="str">
        <f ca="1">IF(ROWS($1:13)&gt;COUNT(Dong2),"",IF(OFFSET(TH!M$1,SMALL(Dong2,ROWS($1:13)),)=$I$6,OFFSET(TH!L$1,SMALL(Dong2,ROWS($1:13)),),OFFSET(TH!M$1,SMALL(Dong2,ROWS($1:13)),)))</f>
        <v>642</v>
      </c>
      <c r="F24" s="459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459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11000</v>
      </c>
      <c r="H24" s="509">
        <f t="shared" ca="1" si="0"/>
        <v>1020786</v>
      </c>
      <c r="I24" s="456"/>
      <c r="L24" s="135"/>
    </row>
    <row r="25" spans="1:20" s="140" customFormat="1" ht="18.75" customHeight="1">
      <c r="A25" s="151">
        <f ca="1">IF(ROWS($1:14)&gt;COUNT(Dong2),"",OFFSET(TH!C$1,SMALL(Dong2,ROWS($1:14)),))</f>
        <v>41242</v>
      </c>
      <c r="B25" s="151" t="str">
        <f ca="1">IF(ROWS($1:14)&gt;COUNT(Dong2),"",OFFSET(TH!D$1,SMALL(Dong2,ROWS($1:14)),))</f>
        <v>GBC</v>
      </c>
      <c r="C25" s="151">
        <f ca="1">IF(ROWS($1:14)&gt;COUNT(Dong2),"",OFFSET(TH!E$1,SMALL(Dong2,ROWS($1:14)),))</f>
        <v>41242</v>
      </c>
      <c r="D25" s="222" t="str">
        <f ca="1">IF(ROWS($1:14)&gt;COUNT(Dong2),"",OFFSET(TH!F$1,SMALL(Dong2,ROWS($1:14)),))</f>
        <v>Thu tiền hàng</v>
      </c>
      <c r="E25" s="151" t="str">
        <f ca="1">IF(ROWS($1:14)&gt;COUNT(Dong2),"",IF(OFFSET(TH!M$1,SMALL(Dong2,ROWS($1:14)),)=$I$6,OFFSET(TH!L$1,SMALL(Dong2,ROWS($1:14)),),OFFSET(TH!M$1,SMALL(Dong2,ROWS($1:14)),)))</f>
        <v>131</v>
      </c>
      <c r="F25" s="459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8415000</v>
      </c>
      <c r="G25" s="459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0</v>
      </c>
      <c r="H25" s="509">
        <f t="shared" ca="1" si="0"/>
        <v>9435786</v>
      </c>
      <c r="I25" s="456"/>
      <c r="L25" s="135"/>
    </row>
    <row r="26" spans="1:20" s="140" customFormat="1" ht="18.75" customHeight="1">
      <c r="A26" s="151">
        <f ca="1">IF(ROWS($1:15)&gt;COUNT(Dong2),"",OFFSET(TH!C$1,SMALL(Dong2,ROWS($1:15)),))</f>
        <v>41250</v>
      </c>
      <c r="B26" s="151" t="str">
        <f ca="1">IF(ROWS($1:15)&gt;COUNT(Dong2),"",OFFSET(TH!D$1,SMALL(Dong2,ROWS($1:15)),))</f>
        <v>T14</v>
      </c>
      <c r="C26" s="151">
        <f ca="1">IF(ROWS($1:15)&gt;COUNT(Dong2),"",OFFSET(TH!E$1,SMALL(Dong2,ROWS($1:15)),))</f>
        <v>41250</v>
      </c>
      <c r="D26" s="222" t="str">
        <f ca="1">IF(ROWS($1:15)&gt;COUNT(Dong2),"",OFFSET(TH!F$1,SMALL(Dong2,ROWS($1:15)),))</f>
        <v>Rút sec nhập quỹ tiền mặt</v>
      </c>
      <c r="E26" s="151" t="str">
        <f ca="1">IF(ROWS($1:15)&gt;COUNT(Dong2),"",IF(OFFSET(TH!M$1,SMALL(Dong2,ROWS($1:15)),)=$I$6,OFFSET(TH!L$1,SMALL(Dong2,ROWS($1:15)),),OFFSET(TH!M$1,SMALL(Dong2,ROWS($1:15)),)))</f>
        <v>1111</v>
      </c>
      <c r="F26" s="459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459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8400000</v>
      </c>
      <c r="H26" s="509">
        <f t="shared" ca="1" si="0"/>
        <v>1035786</v>
      </c>
      <c r="I26" s="456"/>
      <c r="L26" s="135"/>
    </row>
    <row r="27" spans="1:20" s="140" customFormat="1" ht="18.75" customHeight="1">
      <c r="A27" s="151">
        <f ca="1">IF(ROWS($1:16)&gt;COUNT(Dong2),"",OFFSET(TH!C$1,SMALL(Dong2,ROWS($1:16)),))</f>
        <v>41268</v>
      </c>
      <c r="B27" s="151" t="str">
        <f ca="1">IF(ROWS($1:16)&gt;COUNT(Dong2),"",OFFSET(TH!D$1,SMALL(Dong2,ROWS($1:16)),))</f>
        <v>GBC</v>
      </c>
      <c r="C27" s="151">
        <f ca="1">IF(ROWS($1:16)&gt;COUNT(Dong2),"",OFFSET(TH!E$1,SMALL(Dong2,ROWS($1:16)),))</f>
        <v>41268</v>
      </c>
      <c r="D27" s="222" t="str">
        <f ca="1">IF(ROWS($1:16)&gt;COUNT(Dong2),"",OFFSET(TH!F$1,SMALL(Dong2,ROWS($1:16)),))</f>
        <v>Thu tiền hàng</v>
      </c>
      <c r="E27" s="151" t="str">
        <f ca="1">IF(ROWS($1:16)&gt;COUNT(Dong2),"",IF(OFFSET(TH!M$1,SMALL(Dong2,ROWS($1:16)),)=$I$6,OFFSET(TH!L$1,SMALL(Dong2,ROWS($1:16)),),OFFSET(TH!M$1,SMALL(Dong2,ROWS($1:16)),)))</f>
        <v>131</v>
      </c>
      <c r="F27" s="459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19077784</v>
      </c>
      <c r="G27" s="459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509">
        <f t="shared" ca="1" si="0"/>
        <v>20113570</v>
      </c>
      <c r="I27" s="456"/>
      <c r="L27" s="135"/>
    </row>
    <row r="28" spans="1:20" s="140" customFormat="1" ht="18.75" customHeight="1">
      <c r="A28" s="151">
        <f ca="1">IF(ROWS($1:17)&gt;COUNT(Dong2),"",OFFSET(TH!C$1,SMALL(Dong2,ROWS($1:17)),))</f>
        <v>41271</v>
      </c>
      <c r="B28" s="151" t="str">
        <f ca="1">IF(ROWS($1:17)&gt;COUNT(Dong2),"",OFFSET(TH!D$1,SMALL(Dong2,ROWS($1:17)),))</f>
        <v>T18</v>
      </c>
      <c r="C28" s="151">
        <f ca="1">IF(ROWS($1:17)&gt;COUNT(Dong2),"",OFFSET(TH!E$1,SMALL(Dong2,ROWS($1:17)),))</f>
        <v>41271</v>
      </c>
      <c r="D28" s="222" t="str">
        <f ca="1">IF(ROWS($1:17)&gt;COUNT(Dong2),"",OFFSET(TH!F$1,SMALL(Dong2,ROWS($1:17)),))</f>
        <v>Rút sec nhập quỹ tiền mặt</v>
      </c>
      <c r="E28" s="151" t="str">
        <f ca="1">IF(ROWS($1:17)&gt;COUNT(Dong2),"",IF(OFFSET(TH!M$1,SMALL(Dong2,ROWS($1:17)),)=$I$6,OFFSET(TH!L$1,SMALL(Dong2,ROWS($1:17)),),OFFSET(TH!M$1,SMALL(Dong2,ROWS($1:17)),)))</f>
        <v>1111</v>
      </c>
      <c r="F28" s="459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0</v>
      </c>
      <c r="G28" s="459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19000000</v>
      </c>
      <c r="H28" s="509">
        <f t="shared" ca="1" si="0"/>
        <v>1113570</v>
      </c>
      <c r="I28" s="456"/>
      <c r="L28" s="135"/>
    </row>
    <row r="29" spans="1:20" s="140" customFormat="1" ht="18.75" customHeight="1">
      <c r="A29" s="151">
        <f ca="1">IF(ROWS($1:18)&gt;COUNT(Dong2),"",OFFSET(TH!C$1,SMALL(Dong2,ROWS($1:18)),))</f>
        <v>41274</v>
      </c>
      <c r="B29" s="151" t="str">
        <f ca="1">IF(ROWS($1:18)&gt;COUNT(Dong2),"",OFFSET(TH!D$1,SMALL(Dong2,ROWS($1:18)),))</f>
        <v>GBC</v>
      </c>
      <c r="C29" s="151">
        <f ca="1">IF(ROWS($1:18)&gt;COUNT(Dong2),"",OFFSET(TH!E$1,SMALL(Dong2,ROWS($1:18)),))</f>
        <v>41274</v>
      </c>
      <c r="D29" s="222" t="str">
        <f ca="1">IF(ROWS($1:18)&gt;COUNT(Dong2),"",OFFSET(TH!F$1,SMALL(Dong2,ROWS($1:18)),))</f>
        <v>Lãi tiền gửi</v>
      </c>
      <c r="E29" s="151" t="str">
        <f ca="1">IF(ROWS($1:18)&gt;COUNT(Dong2),"",IF(OFFSET(TH!M$1,SMALL(Dong2,ROWS($1:18)),)=$I$6,OFFSET(TH!L$1,SMALL(Dong2,ROWS($1:18)),),OFFSET(TH!M$1,SMALL(Dong2,ROWS($1:18)),)))</f>
        <v>515</v>
      </c>
      <c r="F29" s="459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7199</v>
      </c>
      <c r="G29" s="459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0</v>
      </c>
      <c r="H29" s="509">
        <f t="shared" ca="1" si="0"/>
        <v>1120769</v>
      </c>
      <c r="I29" s="456"/>
      <c r="L29" s="135"/>
    </row>
    <row r="30" spans="1:20" s="140" customFormat="1" ht="18.75" customHeight="1">
      <c r="A30" s="151"/>
      <c r="B30" s="151"/>
      <c r="C30" s="151"/>
      <c r="D30" s="222"/>
      <c r="E30" s="151"/>
      <c r="F30" s="459"/>
      <c r="G30" s="459"/>
      <c r="H30" s="509"/>
      <c r="I30" s="456"/>
      <c r="Q30" s="150"/>
      <c r="R30" s="150"/>
      <c r="S30" s="150"/>
      <c r="T30" s="150"/>
    </row>
    <row r="31" spans="1:20" s="150" customFormat="1" ht="18.75" customHeight="1">
      <c r="A31" s="152"/>
      <c r="B31" s="153"/>
      <c r="C31" s="152"/>
      <c r="D31" s="149" t="s">
        <v>133</v>
      </c>
      <c r="E31" s="154"/>
      <c r="F31" s="458">
        <f ca="1">SUM(F12:F30)</f>
        <v>73544593</v>
      </c>
      <c r="G31" s="458">
        <f ca="1">SUM(G12:G30)</f>
        <v>93944000</v>
      </c>
      <c r="H31" s="458">
        <f ca="1">H11+F31-G31</f>
        <v>1120769</v>
      </c>
      <c r="I31" s="457"/>
    </row>
    <row r="32" spans="1:20" s="150" customFormat="1" ht="18.75" customHeight="1">
      <c r="A32" s="152"/>
      <c r="B32" s="153"/>
      <c r="C32" s="152"/>
      <c r="D32" s="149" t="s">
        <v>10</v>
      </c>
      <c r="E32" s="154"/>
      <c r="F32" s="155"/>
      <c r="G32" s="155"/>
      <c r="H32" s="458">
        <f ca="1">H31</f>
        <v>1120769</v>
      </c>
      <c r="I32" s="154"/>
    </row>
    <row r="33" spans="1:20" s="150" customFormat="1" ht="22.5" customHeight="1">
      <c r="A33" s="239" t="s">
        <v>155</v>
      </c>
      <c r="B33" s="156"/>
      <c r="F33" s="157"/>
      <c r="H33" s="503"/>
      <c r="I33" s="158"/>
    </row>
    <row r="34" spans="1:20" s="150" customFormat="1" ht="12.75">
      <c r="A34" s="175" t="str">
        <f ca="1">"- Ngày mở sổ: "&amp;DAY($A$12)&amp;"/"&amp;MONTH($A$12)&amp;"/ " &amp;YEAR($A$12)</f>
        <v>- Ngày mở sổ: 1/10/ 2012</v>
      </c>
      <c r="B34" s="159"/>
      <c r="F34" s="157"/>
      <c r="H34" s="503"/>
      <c r="I34" s="158"/>
    </row>
    <row r="35" spans="1:20" s="150" customFormat="1" ht="12.75">
      <c r="A35" s="160"/>
      <c r="B35" s="161"/>
      <c r="C35" s="162"/>
      <c r="F35" s="157"/>
      <c r="G35" s="184" t="str">
        <f ca="1">"Ngày "&amp;IF(OR($K$9=4,$K$9=6,$K$9=9,$K$9=11),"30",IF($K$9=2,"28","31"))&amp;"  tháng  "&amp;$O$8&amp;"  năm   "&amp;YEAR($A$12)</f>
        <v>Ngày 31  tháng  12  năm   2012</v>
      </c>
      <c r="H35" s="503"/>
    </row>
    <row r="36" spans="1:20" s="150" customFormat="1" ht="17.25" customHeight="1">
      <c r="B36" s="163" t="s">
        <v>11</v>
      </c>
      <c r="D36" s="163" t="s">
        <v>12</v>
      </c>
      <c r="F36" s="164"/>
      <c r="G36" s="204" t="s">
        <v>109</v>
      </c>
      <c r="H36" s="504"/>
      <c r="I36" s="223"/>
      <c r="J36" s="165"/>
      <c r="K36" s="160"/>
      <c r="L36" s="160"/>
    </row>
    <row r="37" spans="1:20" s="150" customFormat="1">
      <c r="B37" s="205" t="s">
        <v>13</v>
      </c>
      <c r="D37" s="166" t="s">
        <v>13</v>
      </c>
      <c r="F37" s="167"/>
      <c r="G37" s="206" t="s">
        <v>136</v>
      </c>
      <c r="H37" s="503"/>
      <c r="K37" s="168"/>
      <c r="L37" s="168"/>
      <c r="Q37" s="169"/>
      <c r="R37" s="169"/>
      <c r="S37" s="169"/>
      <c r="T37" s="169"/>
    </row>
  </sheetData>
  <autoFilter ref="A10:K34"/>
  <mergeCells count="14">
    <mergeCell ref="I8:I9"/>
    <mergeCell ref="E6:G6"/>
    <mergeCell ref="A8:A9"/>
    <mergeCell ref="B8:C8"/>
    <mergeCell ref="D8:D9"/>
    <mergeCell ref="E8:E9"/>
    <mergeCell ref="F8:H8"/>
    <mergeCell ref="F2:H3"/>
    <mergeCell ref="N6:O6"/>
    <mergeCell ref="Q6:Q7"/>
    <mergeCell ref="R6:R7"/>
    <mergeCell ref="S6:S7"/>
    <mergeCell ref="A4:I4"/>
    <mergeCell ref="A5:I5"/>
  </mergeCells>
  <dataValidations count="2">
    <dataValidation type="list" allowBlank="1" showInputMessage="1" showErrorMessage="1" sqref="M9">
      <formula1>"VCB,EIB"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22"/>
  <sheetViews>
    <sheetView showZeros="0" topLeftCell="A3" workbookViewId="0">
      <pane ySplit="3" topLeftCell="A6" activePane="bottomLeft" state="frozen"/>
      <selection activeCell="A3" sqref="A3"/>
      <selection pane="bottomLeft" activeCell="G8" sqref="G8"/>
    </sheetView>
  </sheetViews>
  <sheetFormatPr defaultColWidth="8" defaultRowHeight="13.5"/>
  <cols>
    <col min="1" max="1" width="5.5703125" style="176" customWidth="1"/>
    <col min="2" max="2" width="59.140625" style="176" customWidth="1"/>
    <col min="3" max="8" width="16.42578125" style="176" customWidth="1"/>
    <col min="9" max="16384" width="8" style="176"/>
  </cols>
  <sheetData>
    <row r="1" spans="1:9">
      <c r="A1" s="714" t="str">
        <f>TH!$A$1</f>
        <v>Đơn vị: CÔNG TY TNHH MỘT THÀNH VIÊN KHỞI NGUYÊN AN</v>
      </c>
    </row>
    <row r="2" spans="1:9">
      <c r="A2" s="715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817" t="s">
        <v>272</v>
      </c>
      <c r="B3" s="817"/>
      <c r="C3" s="817"/>
      <c r="D3" s="817"/>
      <c r="E3" s="817"/>
      <c r="F3" s="817"/>
      <c r="G3" s="817"/>
      <c r="H3" s="817"/>
    </row>
    <row r="4" spans="1:9" s="10" customFormat="1" ht="14.25" customHeight="1">
      <c r="A4" s="818" t="s">
        <v>35</v>
      </c>
      <c r="B4" s="820" t="s">
        <v>36</v>
      </c>
      <c r="C4" s="822" t="s">
        <v>37</v>
      </c>
      <c r="D4" s="823"/>
      <c r="E4" s="822" t="s">
        <v>38</v>
      </c>
      <c r="F4" s="823"/>
      <c r="G4" s="822" t="s">
        <v>41</v>
      </c>
      <c r="H4" s="823"/>
    </row>
    <row r="5" spans="1:9" s="10" customFormat="1" ht="14.25" customHeight="1">
      <c r="A5" s="819"/>
      <c r="B5" s="821"/>
      <c r="C5" s="515" t="s">
        <v>42</v>
      </c>
      <c r="D5" s="515" t="s">
        <v>43</v>
      </c>
      <c r="E5" s="515" t="s">
        <v>42</v>
      </c>
      <c r="F5" s="515" t="s">
        <v>43</v>
      </c>
      <c r="G5" s="515" t="s">
        <v>42</v>
      </c>
      <c r="H5" s="515" t="s">
        <v>43</v>
      </c>
    </row>
    <row r="6" spans="1:9" s="10" customFormat="1" ht="16.5" customHeight="1">
      <c r="A6" s="6">
        <f t="shared" ref="A6:A14" si="0">IF(B6&lt;&gt;"",ROW()-5,"")</f>
        <v>1</v>
      </c>
      <c r="B6" s="187" t="s">
        <v>477</v>
      </c>
      <c r="C6" s="8"/>
      <c r="D6" s="8"/>
      <c r="E6" s="8">
        <f t="array" ref="E6">SUM(IF("131"&amp;B6=KHN&amp;KH,TH))</f>
        <v>8024412</v>
      </c>
      <c r="F6" s="8">
        <f t="array" ref="F6">SUM(IF("131"&amp;B6=KHC&amp;KH,TH))</f>
        <v>8024412</v>
      </c>
      <c r="G6" s="52">
        <f t="shared" ref="G6:G14" si="1">ROUND(MAX(C6+E6-D6-F6,0),2)</f>
        <v>0</v>
      </c>
      <c r="H6" s="52">
        <f t="shared" ref="H6:H14" si="2">ROUND(MAX(D6+F6-C6-E6,0),2)</f>
        <v>0</v>
      </c>
    </row>
    <row r="7" spans="1:9" s="10" customFormat="1" ht="16.5" customHeight="1">
      <c r="A7" s="6">
        <f t="shared" si="0"/>
        <v>2</v>
      </c>
      <c r="B7" s="187" t="s">
        <v>481</v>
      </c>
      <c r="C7" s="8"/>
      <c r="D7" s="8"/>
      <c r="E7" s="8">
        <f t="array" ref="E7">SUM(IF("131"&amp;B7=KHN&amp;KH,TH))</f>
        <v>112654572</v>
      </c>
      <c r="F7" s="8">
        <f t="array" ref="F7">SUM(IF("131"&amp;B7=KHC&amp;KH,TH))</f>
        <v>112654572</v>
      </c>
      <c r="G7" s="52">
        <f t="shared" si="1"/>
        <v>0</v>
      </c>
      <c r="H7" s="52">
        <f t="shared" si="2"/>
        <v>0</v>
      </c>
      <c r="I7" s="10" t="str">
        <f>IF(ISNA(VLOOKUP(B7,'131'!$B$4:$B$14,1,0)),"","x")</f>
        <v>x</v>
      </c>
    </row>
    <row r="8" spans="1:9" s="10" customFormat="1" ht="16.5" customHeight="1">
      <c r="A8" s="6">
        <f t="shared" si="0"/>
        <v>3</v>
      </c>
      <c r="B8" s="187" t="s">
        <v>482</v>
      </c>
      <c r="C8" s="8"/>
      <c r="D8" s="8"/>
      <c r="E8" s="8">
        <f t="array" ref="E8">SUM(IF("131"&amp;B8=KHN&amp;KH,TH))</f>
        <v>17991600</v>
      </c>
      <c r="F8" s="8">
        <f t="array" ref="F8">SUM(IF("131"&amp;B8=KHC&amp;KH,TH))</f>
        <v>8294000</v>
      </c>
      <c r="G8" s="52">
        <f t="shared" si="1"/>
        <v>9697600</v>
      </c>
      <c r="H8" s="52">
        <f t="shared" si="2"/>
        <v>0</v>
      </c>
      <c r="I8" s="10" t="str">
        <f>IF(ISNA(VLOOKUP(B8,'131'!$B$4:$B$14,1,0)),"","x")</f>
        <v>x</v>
      </c>
    </row>
    <row r="9" spans="1:9" s="10" customFormat="1" ht="16.5" customHeight="1">
      <c r="A9" s="6">
        <f t="shared" si="0"/>
        <v>4</v>
      </c>
      <c r="B9" s="187" t="s">
        <v>552</v>
      </c>
      <c r="C9" s="8"/>
      <c r="D9" s="8"/>
      <c r="E9" s="8">
        <f t="array" ref="E9">SUM(IF("131"&amp;B9=KHN&amp;KH,TH))</f>
        <v>42069500</v>
      </c>
      <c r="F9" s="8">
        <f t="array" ref="F9">SUM(IF("131"&amp;B9=KHC&amp;KH,TH))</f>
        <v>8415000</v>
      </c>
      <c r="G9" s="52">
        <f t="shared" si="1"/>
        <v>33654500</v>
      </c>
      <c r="H9" s="52">
        <f t="shared" si="2"/>
        <v>0</v>
      </c>
      <c r="I9" s="10" t="str">
        <f>IF(ISNA(VLOOKUP(B9,'131'!$B$4:$B$14,1,0)),"","x")</f>
        <v>x</v>
      </c>
    </row>
    <row r="10" spans="1:9" s="10" customFormat="1" ht="16.5" customHeight="1">
      <c r="A10" s="6">
        <f t="shared" si="0"/>
        <v>5</v>
      </c>
      <c r="B10" s="187" t="s">
        <v>484</v>
      </c>
      <c r="C10" s="8"/>
      <c r="D10" s="8"/>
      <c r="E10" s="8">
        <f t="array" ref="E10">SUM(IF("131"&amp;B10=KHN&amp;KH,TH))</f>
        <v>20756384</v>
      </c>
      <c r="F10" s="8">
        <f t="array" ref="F10">SUM(IF("131"&amp;B10=KHC&amp;KH,TH))</f>
        <v>20756384</v>
      </c>
      <c r="G10" s="52">
        <f t="shared" si="1"/>
        <v>0</v>
      </c>
      <c r="H10" s="52">
        <f t="shared" si="2"/>
        <v>0</v>
      </c>
    </row>
    <row r="11" spans="1:9" s="10" customFormat="1" ht="16.5" customHeight="1">
      <c r="A11" s="6">
        <f t="shared" si="0"/>
        <v>6</v>
      </c>
      <c r="B11" s="187" t="s">
        <v>588</v>
      </c>
      <c r="C11" s="8"/>
      <c r="D11" s="8"/>
      <c r="E11" s="8">
        <f t="array" ref="E11">SUM(IF("131"&amp;B11=KHN&amp;KH,TH))</f>
        <v>5864760</v>
      </c>
      <c r="F11" s="8">
        <f t="array" ref="F11">SUM(IF("131"&amp;B11=KHC&amp;KH,TH))</f>
        <v>5864760</v>
      </c>
      <c r="G11" s="52">
        <f t="shared" si="1"/>
        <v>0</v>
      </c>
      <c r="H11" s="52">
        <f t="shared" si="2"/>
        <v>0</v>
      </c>
    </row>
    <row r="12" spans="1:9" s="10" customFormat="1" ht="16.5" customHeight="1">
      <c r="A12" s="6">
        <f t="shared" si="0"/>
        <v>7</v>
      </c>
      <c r="B12" s="187" t="s">
        <v>571</v>
      </c>
      <c r="C12" s="8"/>
      <c r="D12" s="8"/>
      <c r="E12" s="8">
        <f t="array" ref="E12">SUM(IF("131"&amp;B12=KHN&amp;KH,TH))</f>
        <v>13395800</v>
      </c>
      <c r="F12" s="8">
        <f t="array" ref="F12">SUM(IF("131"&amp;B12=KHC&amp;KH,TH))</f>
        <v>13395800</v>
      </c>
      <c r="G12" s="52">
        <f t="shared" si="1"/>
        <v>0</v>
      </c>
      <c r="H12" s="52">
        <f t="shared" si="2"/>
        <v>0</v>
      </c>
    </row>
    <row r="13" spans="1:9" s="10" customFormat="1" ht="16.5" customHeight="1">
      <c r="A13" s="6">
        <f t="shared" si="0"/>
        <v>8</v>
      </c>
      <c r="B13" s="187" t="s">
        <v>536</v>
      </c>
      <c r="C13" s="8"/>
      <c r="D13" s="8"/>
      <c r="E13" s="8">
        <f t="array" ref="E13">SUM(IF("131"&amp;B13=KHN&amp;KH,TH))</f>
        <v>42985525</v>
      </c>
      <c r="F13" s="8">
        <f t="array" ref="F13">SUM(IF("131"&amp;B13=KHC&amp;KH,TH))</f>
        <v>42985525</v>
      </c>
      <c r="G13" s="675">
        <f t="shared" si="1"/>
        <v>0</v>
      </c>
      <c r="H13" s="675">
        <f t="shared" si="2"/>
        <v>0</v>
      </c>
    </row>
    <row r="14" spans="1:9" s="10" customFormat="1" ht="16.5" customHeight="1">
      <c r="A14" s="6">
        <f t="shared" si="0"/>
        <v>9</v>
      </c>
      <c r="B14" s="187" t="s">
        <v>564</v>
      </c>
      <c r="C14" s="8"/>
      <c r="D14" s="8"/>
      <c r="E14" s="8">
        <f t="array" ref="E14">SUM(IF("131"&amp;B14=KHN&amp;KH,TH))</f>
        <v>6297500</v>
      </c>
      <c r="F14" s="8">
        <f t="array" ref="F14">SUM(IF("131"&amp;B14=KHC&amp;KH,TH))</f>
        <v>6297500</v>
      </c>
      <c r="G14" s="675">
        <f t="shared" si="1"/>
        <v>0</v>
      </c>
      <c r="H14" s="675">
        <f t="shared" si="2"/>
        <v>0</v>
      </c>
      <c r="I14" s="10" t="str">
        <f>IF(ISNA(VLOOKUP(B14,'131'!$B$4:$B$14,1,0)),"","x")</f>
        <v>x</v>
      </c>
    </row>
    <row r="15" spans="1:9" s="10" customFormat="1" ht="16.5" customHeight="1">
      <c r="A15" s="6" t="str">
        <f t="shared" ref="A15" si="3">IF(B15&lt;&gt;"",ROW()-3,"")</f>
        <v/>
      </c>
      <c r="B15" s="42"/>
      <c r="C15" s="8"/>
      <c r="D15" s="8"/>
      <c r="E15" s="8"/>
      <c r="F15" s="8"/>
      <c r="G15" s="52"/>
      <c r="H15" s="52"/>
      <c r="I15" s="10" t="str">
        <f>IF(ISNA(VLOOKUP(B15,'131'!$B$4:$B$14,1,0)),"","x")</f>
        <v/>
      </c>
    </row>
    <row r="16" spans="1:9" s="14" customFormat="1" ht="14.25" customHeight="1">
      <c r="A16" s="11"/>
      <c r="B16" s="12" t="s">
        <v>39</v>
      </c>
      <c r="C16" s="13">
        <f t="shared" ref="C16:H16" si="4">SUM(C6:C15)</f>
        <v>0</v>
      </c>
      <c r="D16" s="13">
        <f t="shared" si="4"/>
        <v>0</v>
      </c>
      <c r="E16" s="13">
        <f t="shared" si="4"/>
        <v>270040053</v>
      </c>
      <c r="F16" s="13">
        <f t="shared" si="4"/>
        <v>226687953</v>
      </c>
      <c r="G16" s="13">
        <f t="shared" si="4"/>
        <v>43352100</v>
      </c>
      <c r="H16" s="13">
        <f t="shared" si="4"/>
        <v>0</v>
      </c>
    </row>
    <row r="17" spans="5:8">
      <c r="E17" s="15">
        <f>CDPS!E14</f>
        <v>270040053</v>
      </c>
      <c r="F17" s="15">
        <f>CDPS!F14</f>
        <v>226687953</v>
      </c>
    </row>
    <row r="18" spans="5:8">
      <c r="E18" s="15">
        <f>E16-E17</f>
        <v>0</v>
      </c>
      <c r="F18" s="15">
        <f>F16-F17</f>
        <v>0</v>
      </c>
    </row>
    <row r="20" spans="5:8">
      <c r="E20" s="15"/>
      <c r="F20" s="816" t="s">
        <v>344</v>
      </c>
      <c r="G20" s="816"/>
      <c r="H20" s="816"/>
    </row>
    <row r="21" spans="5:8">
      <c r="F21" s="816" t="s">
        <v>109</v>
      </c>
      <c r="G21" s="816"/>
      <c r="H21" s="816"/>
    </row>
    <row r="22" spans="5:8">
      <c r="E22" s="177"/>
      <c r="F22" s="816" t="s">
        <v>136</v>
      </c>
      <c r="G22" s="816"/>
      <c r="H22" s="816"/>
    </row>
  </sheetData>
  <sortState ref="A6:I31">
    <sortCondition ref="B6:B31"/>
  </sortState>
  <mergeCells count="9">
    <mergeCell ref="F20:H20"/>
    <mergeCell ref="F21:H21"/>
    <mergeCell ref="F22:H22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23" activePane="bottomLeft" state="frozen"/>
      <selection activeCell="A6" sqref="A6"/>
      <selection pane="bottomLeft" activeCell="A14" sqref="A14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49" customFormat="1" ht="14.25" customHeight="1">
      <c r="A1" s="520" t="str">
        <f>TH!A1</f>
        <v>Đơn vị: CÔNG TY TNHH MỘT THÀNH VIÊN KHỞI NGUYÊN AN</v>
      </c>
      <c r="B1" s="512"/>
      <c r="C1" s="512"/>
      <c r="G1" s="2"/>
      <c r="H1" s="826" t="s">
        <v>46</v>
      </c>
      <c r="I1" s="826"/>
      <c r="J1" s="826"/>
    </row>
    <row r="2" spans="1:10" s="449" customFormat="1" ht="14.25" customHeight="1">
      <c r="A2" s="519" t="str">
        <f>TH!A2</f>
        <v>Địa chỉ: Thửa đất số 144, tờ bản đồ số 12TĐH.1, tổ 1, khu phố Đông Tác, Phường Tân Đông Hiệp, Thị Xã Dĩ An, Tỉnh Bình Dương, Việt Nam</v>
      </c>
      <c r="B2" s="512"/>
      <c r="C2" s="512"/>
      <c r="G2" s="17"/>
      <c r="H2" s="827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I2" s="827"/>
      <c r="J2" s="827"/>
    </row>
    <row r="3" spans="1:10" s="449" customFormat="1" ht="14.25" customHeight="1">
      <c r="A3" s="514"/>
      <c r="B3" s="512"/>
      <c r="C3" s="512"/>
      <c r="G3" s="17"/>
      <c r="H3" s="827"/>
      <c r="I3" s="827"/>
      <c r="J3" s="827"/>
    </row>
    <row r="4" spans="1:10" s="5" customFormat="1" ht="28.5" customHeight="1">
      <c r="A4" s="828" t="s">
        <v>26</v>
      </c>
      <c r="B4" s="828"/>
      <c r="C4" s="828"/>
      <c r="D4" s="828"/>
      <c r="E4" s="828"/>
      <c r="F4" s="828"/>
      <c r="G4" s="828"/>
      <c r="H4" s="828"/>
      <c r="I4" s="828"/>
      <c r="J4" s="828"/>
    </row>
    <row r="5" spans="1:10" s="18" customFormat="1" ht="14.25" customHeight="1">
      <c r="E5" s="510" t="s">
        <v>27</v>
      </c>
    </row>
    <row r="6" spans="1:10" s="18" customFormat="1" ht="14.25" customHeight="1">
      <c r="E6" s="510" t="s">
        <v>275</v>
      </c>
    </row>
    <row r="7" spans="1:10" s="18" customFormat="1" ht="14.25" customHeight="1">
      <c r="D7" s="20" t="s">
        <v>45</v>
      </c>
      <c r="E7" s="829" t="s">
        <v>370</v>
      </c>
      <c r="F7" s="829"/>
      <c r="G7" s="829"/>
      <c r="H7" s="829"/>
    </row>
    <row r="8" spans="1:10" s="18" customFormat="1" ht="14.25" customHeight="1">
      <c r="E8" s="510" t="s">
        <v>29</v>
      </c>
    </row>
    <row r="9" spans="1:10" s="18" customFormat="1" ht="6.75" customHeight="1">
      <c r="B9" s="510"/>
      <c r="C9" s="830"/>
      <c r="D9" s="830"/>
      <c r="E9" s="830"/>
      <c r="F9" s="830"/>
      <c r="G9" s="830"/>
      <c r="H9" s="830"/>
      <c r="I9" s="830"/>
      <c r="J9" s="830"/>
    </row>
    <row r="10" spans="1:10" s="18" customFormat="1" ht="14.25" customHeight="1">
      <c r="A10" s="793" t="s">
        <v>20</v>
      </c>
      <c r="B10" s="831" t="s">
        <v>1</v>
      </c>
      <c r="C10" s="831"/>
      <c r="D10" s="793" t="s">
        <v>0</v>
      </c>
      <c r="E10" s="793" t="s">
        <v>14</v>
      </c>
      <c r="F10" s="793" t="s">
        <v>30</v>
      </c>
      <c r="G10" s="824" t="s">
        <v>21</v>
      </c>
      <c r="H10" s="825"/>
      <c r="I10" s="824" t="s">
        <v>31</v>
      </c>
      <c r="J10" s="825"/>
    </row>
    <row r="11" spans="1:10" s="18" customFormat="1" ht="24.75" customHeight="1">
      <c r="A11" s="793"/>
      <c r="B11" s="30" t="s">
        <v>15</v>
      </c>
      <c r="C11" s="30" t="s">
        <v>32</v>
      </c>
      <c r="D11" s="793"/>
      <c r="E11" s="793"/>
      <c r="F11" s="793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516" t="s">
        <v>2</v>
      </c>
      <c r="B12" s="517" t="s">
        <v>3</v>
      </c>
      <c r="C12" s="516" t="s">
        <v>4</v>
      </c>
      <c r="D12" s="516" t="s">
        <v>5</v>
      </c>
      <c r="E12" s="516" t="s">
        <v>6</v>
      </c>
      <c r="F12" s="516">
        <v>1</v>
      </c>
      <c r="G12" s="516">
        <v>2</v>
      </c>
      <c r="H12" s="516">
        <v>3</v>
      </c>
      <c r="I12" s="516">
        <v>4</v>
      </c>
      <c r="J12" s="516">
        <v>5</v>
      </c>
    </row>
    <row r="13" spans="1:10" s="18" customFormat="1" ht="18" customHeight="1">
      <c r="A13" s="516"/>
      <c r="B13" s="516"/>
      <c r="C13" s="516"/>
      <c r="D13" s="23" t="s">
        <v>7</v>
      </c>
      <c r="E13" s="516"/>
      <c r="F13" s="24"/>
      <c r="G13" s="24"/>
      <c r="H13" s="24"/>
      <c r="I13" s="44" t="e">
        <f>VLOOKUP($E$7,'131'!$B$6:$H$15,2,0)</f>
        <v>#N/A</v>
      </c>
      <c r="J13" s="44" t="e">
        <f>VLOOKUP($E$7,'131'!$B$6:$H$15,3,0)</f>
        <v>#N/A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13" t="str">
        <f ca="1">IF(ROWS($1:1)&gt;COUNT(Dong14),"",OFFSET(TH!F$1,SMALL(Dong14,ROWS($1:1)),))</f>
        <v/>
      </c>
      <c r="E14" s="43" t="str">
        <f ca="1">IF(ROWS($1:1)&gt;COUNT(Dong14),"",IF(OFFSET(TH!L$1,SMALL(Dong14,ROWS($1:1)),)="331",OFFSET(TH!M$1,SMALL(Dong14,ROWS($1:1)),),OFFSET(TH!L$1,SMALL(Dong14,ROWS($1:1)),)))</f>
        <v/>
      </c>
      <c r="F14" s="43"/>
      <c r="G14" s="55" t="str">
        <f ca="1">IF(ROWS($1:1)&gt;COUNT(Dong14),"",IF(OFFSET(TH!L$1,SMALL(Dong14,ROWS($1:1)),)="131",OFFSET(TH!K$1,SMALL(Dong14,ROWS($1:1)),),0))</f>
        <v/>
      </c>
      <c r="H14" s="55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13" t="str">
        <f ca="1">IF(ROWS($1:2)&gt;COUNT(Dong14),"",OFFSET(TH!F$1,SMALL(Dong14,ROWS($1:2)),))</f>
        <v/>
      </c>
      <c r="E15" s="43" t="str">
        <f ca="1">IF(ROWS($1:2)&gt;COUNT(Dong14),"",IF(OFFSET(TH!L$1,SMALL(Dong14,ROWS($1:2)),)="331",OFFSET(TH!M$1,SMALL(Dong14,ROWS($1:2)),),OFFSET(TH!L$1,SMALL(Dong14,ROWS($1:2)),)))</f>
        <v/>
      </c>
      <c r="F15" s="43"/>
      <c r="G15" s="55" t="str">
        <f ca="1">IF(ROWS($1:2)&gt;COUNT(Dong14),"",IF(OFFSET(TH!L$1,SMALL(Dong14,ROWS($1:2)),)="131",OFFSET(TH!K$1,SMALL(Dong14,ROWS($1:2)),),0))</f>
        <v/>
      </c>
      <c r="H15" s="55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13" t="str">
        <f ca="1">IF(ROWS($1:3)&gt;COUNT(Dong14),"",OFFSET(TH!F$1,SMALL(Dong14,ROWS($1:3)),))</f>
        <v/>
      </c>
      <c r="E16" s="43" t="str">
        <f ca="1">IF(ROWS($1:3)&gt;COUNT(Dong14),"",IF(OFFSET(TH!L$1,SMALL(Dong14,ROWS($1:3)),)="331",OFFSET(TH!M$1,SMALL(Dong14,ROWS($1:3)),),OFFSET(TH!L$1,SMALL(Dong14,ROWS($1:3)),)))</f>
        <v/>
      </c>
      <c r="F16" s="43"/>
      <c r="G16" s="55" t="str">
        <f ca="1">IF(ROWS($1:3)&gt;COUNT(Dong14),"",IF(OFFSET(TH!L$1,SMALL(Dong14,ROWS($1:3)),)="131",OFFSET(TH!K$1,SMALL(Dong14,ROWS($1:3)),),0))</f>
        <v/>
      </c>
      <c r="H16" s="55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13" t="str">
        <f ca="1">IF(ROWS($1:4)&gt;COUNT(Dong14),"",OFFSET(TH!F$1,SMALL(Dong14,ROWS($1:4)),))</f>
        <v/>
      </c>
      <c r="E17" s="43" t="str">
        <f ca="1">IF(ROWS($1:4)&gt;COUNT(Dong14),"",IF(OFFSET(TH!L$1,SMALL(Dong14,ROWS($1:4)),)="331",OFFSET(TH!M$1,SMALL(Dong14,ROWS($1:4)),),OFFSET(TH!L$1,SMALL(Dong14,ROWS($1:4)),)))</f>
        <v/>
      </c>
      <c r="F17" s="43"/>
      <c r="G17" s="55" t="str">
        <f ca="1">IF(ROWS($1:4)&gt;COUNT(Dong14),"",IF(OFFSET(TH!L$1,SMALL(Dong14,ROWS($1:4)),)="131",OFFSET(TH!K$1,SMALL(Dong14,ROWS($1:4)),),0))</f>
        <v/>
      </c>
      <c r="H17" s="55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13" t="str">
        <f ca="1">IF(ROWS($1:5)&gt;COUNT(Dong14),"",OFFSET(TH!F$1,SMALL(Dong14,ROWS($1:5)),))</f>
        <v/>
      </c>
      <c r="E18" s="43" t="str">
        <f ca="1">IF(ROWS($1:5)&gt;COUNT(Dong14),"",IF(OFFSET(TH!L$1,SMALL(Dong14,ROWS($1:5)),)="331",OFFSET(TH!M$1,SMALL(Dong14,ROWS($1:5)),),OFFSET(TH!L$1,SMALL(Dong14,ROWS($1:5)),)))</f>
        <v/>
      </c>
      <c r="F18" s="43"/>
      <c r="G18" s="55" t="str">
        <f ca="1">IF(ROWS($1:5)&gt;COUNT(Dong14),"",IF(OFFSET(TH!L$1,SMALL(Dong14,ROWS($1:5)),)="131",OFFSET(TH!K$1,SMALL(Dong14,ROWS($1:5)),),0))</f>
        <v/>
      </c>
      <c r="H18" s="55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13" t="str">
        <f ca="1">IF(ROWS($1:6)&gt;COUNT(Dong14),"",OFFSET(TH!F$1,SMALL(Dong14,ROWS($1:6)),))</f>
        <v/>
      </c>
      <c r="E19" s="43" t="str">
        <f ca="1">IF(ROWS($1:6)&gt;COUNT(Dong14),"",IF(OFFSET(TH!L$1,SMALL(Dong14,ROWS($1:6)),)="331",OFFSET(TH!M$1,SMALL(Dong14,ROWS($1:6)),),OFFSET(TH!L$1,SMALL(Dong14,ROWS($1:6)),)))</f>
        <v/>
      </c>
      <c r="F19" s="43"/>
      <c r="G19" s="55" t="str">
        <f ca="1">IF(ROWS($1:6)&gt;COUNT(Dong14),"",IF(OFFSET(TH!L$1,SMALL(Dong14,ROWS($1:6)),)="131",OFFSET(TH!K$1,SMALL(Dong14,ROWS($1:6)),),0))</f>
        <v/>
      </c>
      <c r="H19" s="55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13" t="str">
        <f ca="1">IF(ROWS($1:7)&gt;COUNT(Dong14),"",OFFSET(TH!F$1,SMALL(Dong14,ROWS($1:7)),))</f>
        <v/>
      </c>
      <c r="E20" s="43" t="str">
        <f ca="1">IF(ROWS($1:7)&gt;COUNT(Dong14),"",IF(OFFSET(TH!L$1,SMALL(Dong14,ROWS($1:7)),)="331",OFFSET(TH!M$1,SMALL(Dong14,ROWS($1:7)),),OFFSET(TH!L$1,SMALL(Dong14,ROWS($1:7)),)))</f>
        <v/>
      </c>
      <c r="F20" s="43"/>
      <c r="G20" s="55" t="str">
        <f ca="1">IF(ROWS($1:7)&gt;COUNT(Dong14),"",IF(OFFSET(TH!L$1,SMALL(Dong14,ROWS($1:7)),)="131",OFFSET(TH!K$1,SMALL(Dong14,ROWS($1:7)),),0))</f>
        <v/>
      </c>
      <c r="H20" s="55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13" t="str">
        <f ca="1">IF(ROWS($1:8)&gt;COUNT(Dong14),"",OFFSET(TH!F$1,SMALL(Dong14,ROWS($1:8)),))</f>
        <v/>
      </c>
      <c r="E21" s="43" t="str">
        <f ca="1">IF(ROWS($1:8)&gt;COUNT(Dong14),"",IF(OFFSET(TH!L$1,SMALL(Dong14,ROWS($1:8)),)="331",OFFSET(TH!M$1,SMALL(Dong14,ROWS($1:8)),),OFFSET(TH!L$1,SMALL(Dong14,ROWS($1:8)),)))</f>
        <v/>
      </c>
      <c r="F21" s="43"/>
      <c r="G21" s="55" t="str">
        <f ca="1">IF(ROWS($1:8)&gt;COUNT(Dong14),"",IF(OFFSET(TH!L$1,SMALL(Dong14,ROWS($1:8)),)="131",OFFSET(TH!K$1,SMALL(Dong14,ROWS($1:8)),),0))</f>
        <v/>
      </c>
      <c r="H21" s="55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13" t="str">
        <f ca="1">IF(ROWS($1:9)&gt;COUNT(Dong14),"",OFFSET(TH!F$1,SMALL(Dong14,ROWS($1:9)),))</f>
        <v/>
      </c>
      <c r="E22" s="43" t="str">
        <f ca="1">IF(ROWS($1:9)&gt;COUNT(Dong14),"",IF(OFFSET(TH!L$1,SMALL(Dong14,ROWS($1:9)),)="331",OFFSET(TH!M$1,SMALL(Dong14,ROWS($1:9)),),OFFSET(TH!L$1,SMALL(Dong14,ROWS($1:9)),)))</f>
        <v/>
      </c>
      <c r="F22" s="43"/>
      <c r="G22" s="55" t="str">
        <f ca="1">IF(ROWS($1:9)&gt;COUNT(Dong14),"",IF(OFFSET(TH!L$1,SMALL(Dong14,ROWS($1:9)),)="131",OFFSET(TH!K$1,SMALL(Dong14,ROWS($1:9)),),0))</f>
        <v/>
      </c>
      <c r="H22" s="55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13" t="str">
        <f ca="1">IF(ROWS($1:10)&gt;COUNT(Dong14),"",OFFSET(TH!F$1,SMALL(Dong14,ROWS($1:10)),))</f>
        <v/>
      </c>
      <c r="E23" s="43" t="str">
        <f ca="1">IF(ROWS($1:10)&gt;COUNT(Dong14),"",IF(OFFSET(TH!L$1,SMALL(Dong14,ROWS($1:10)),)="331",OFFSET(TH!M$1,SMALL(Dong14,ROWS($1:10)),),OFFSET(TH!L$1,SMALL(Dong14,ROWS($1:10)),)))</f>
        <v/>
      </c>
      <c r="F23" s="43"/>
      <c r="G23" s="55" t="str">
        <f ca="1">IF(ROWS($1:10)&gt;COUNT(Dong14),"",IF(OFFSET(TH!L$1,SMALL(Dong14,ROWS($1:10)),)="131",OFFSET(TH!K$1,SMALL(Dong14,ROWS($1:10)),),0))</f>
        <v/>
      </c>
      <c r="H23" s="55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13" t="str">
        <f ca="1">IF(ROWS($1:11)&gt;COUNT(Dong14),"",OFFSET(TH!F$1,SMALL(Dong14,ROWS($1:11)),))</f>
        <v/>
      </c>
      <c r="E24" s="43" t="str">
        <f ca="1">IF(ROWS($1:11)&gt;COUNT(Dong14),"",IF(OFFSET(TH!L$1,SMALL(Dong14,ROWS($1:11)),)="331",OFFSET(TH!M$1,SMALL(Dong14,ROWS($1:11)),),OFFSET(TH!L$1,SMALL(Dong14,ROWS($1:11)),)))</f>
        <v/>
      </c>
      <c r="F24" s="43"/>
      <c r="G24" s="55" t="str">
        <f ca="1">IF(ROWS($1:11)&gt;COUNT(Dong14),"",IF(OFFSET(TH!L$1,SMALL(Dong14,ROWS($1:11)),)="131",OFFSET(TH!K$1,SMALL(Dong14,ROWS($1:11)),),0))</f>
        <v/>
      </c>
      <c r="H24" s="55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13" t="str">
        <f ca="1">IF(ROWS($1:12)&gt;COUNT(Dong14),"",OFFSET(TH!F$1,SMALL(Dong14,ROWS($1:12)),))</f>
        <v/>
      </c>
      <c r="E25" s="43" t="str">
        <f ca="1">IF(ROWS($1:12)&gt;COUNT(Dong14),"",IF(OFFSET(TH!L$1,SMALL(Dong14,ROWS($1:12)),)="331",OFFSET(TH!M$1,SMALL(Dong14,ROWS($1:12)),),OFFSET(TH!L$1,SMALL(Dong14,ROWS($1:12)),)))</f>
        <v/>
      </c>
      <c r="F25" s="43"/>
      <c r="G25" s="55" t="str">
        <f ca="1">IF(ROWS($1:12)&gt;COUNT(Dong14),"",IF(OFFSET(TH!L$1,SMALL(Dong14,ROWS($1:12)),)="131",OFFSET(TH!K$1,SMALL(Dong14,ROWS($1:12)),),0))</f>
        <v/>
      </c>
      <c r="H25" s="55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13" t="str">
        <f ca="1">IF(ROWS($1:13)&gt;COUNT(Dong14),"",OFFSET(TH!F$1,SMALL(Dong14,ROWS($1:13)),))</f>
        <v/>
      </c>
      <c r="E26" s="43" t="str">
        <f ca="1">IF(ROWS($1:13)&gt;COUNT(Dong14),"",IF(OFFSET(TH!L$1,SMALL(Dong14,ROWS($1:13)),)="331",OFFSET(TH!M$1,SMALL(Dong14,ROWS($1:13)),),OFFSET(TH!L$1,SMALL(Dong14,ROWS($1:13)),)))</f>
        <v/>
      </c>
      <c r="F26" s="43"/>
      <c r="G26" s="55" t="str">
        <f ca="1">IF(ROWS($1:13)&gt;COUNT(Dong14),"",IF(OFFSET(TH!L$1,SMALL(Dong14,ROWS($1:13)),)="131",OFFSET(TH!K$1,SMALL(Dong14,ROWS($1:13)),),0))</f>
        <v/>
      </c>
      <c r="H26" s="55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13" t="str">
        <f ca="1">IF(ROWS($1:14)&gt;COUNT(Dong14),"",OFFSET(TH!F$1,SMALL(Dong14,ROWS($1:14)),))</f>
        <v/>
      </c>
      <c r="E27" s="43" t="str">
        <f ca="1">IF(ROWS($1:14)&gt;COUNT(Dong14),"",IF(OFFSET(TH!L$1,SMALL(Dong14,ROWS($1:14)),)="331",OFFSET(TH!M$1,SMALL(Dong14,ROWS($1:14)),),OFFSET(TH!L$1,SMALL(Dong14,ROWS($1:14)),)))</f>
        <v/>
      </c>
      <c r="F27" s="43"/>
      <c r="G27" s="55" t="str">
        <f ca="1">IF(ROWS($1:14)&gt;COUNT(Dong14),"",IF(OFFSET(TH!L$1,SMALL(Dong14,ROWS($1:14)),)="131",OFFSET(TH!K$1,SMALL(Dong14,ROWS($1:14)),),0))</f>
        <v/>
      </c>
      <c r="H27" s="55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13" t="str">
        <f ca="1">IF(ROWS($1:15)&gt;COUNT(Dong14),"",OFFSET(TH!F$1,SMALL(Dong14,ROWS($1:15)),))</f>
        <v/>
      </c>
      <c r="E28" s="43" t="str">
        <f ca="1">IF(ROWS($1:15)&gt;COUNT(Dong14),"",IF(OFFSET(TH!L$1,SMALL(Dong14,ROWS($1:15)),)="331",OFFSET(TH!M$1,SMALL(Dong14,ROWS($1:15)),),OFFSET(TH!L$1,SMALL(Dong14,ROWS($1:15)),)))</f>
        <v/>
      </c>
      <c r="F28" s="43"/>
      <c r="G28" s="55" t="str">
        <f ca="1">IF(ROWS($1:15)&gt;COUNT(Dong14),"",IF(OFFSET(TH!L$1,SMALL(Dong14,ROWS($1:15)),)="131",OFFSET(TH!K$1,SMALL(Dong14,ROWS($1:15)),),0))</f>
        <v/>
      </c>
      <c r="H28" s="55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13" t="str">
        <f ca="1">IF(ROWS($1:16)&gt;COUNT(Dong14),"",OFFSET(TH!F$1,SMALL(Dong14,ROWS($1:16)),))</f>
        <v/>
      </c>
      <c r="E29" s="43" t="str">
        <f ca="1">IF(ROWS($1:16)&gt;COUNT(Dong14),"",IF(OFFSET(TH!L$1,SMALL(Dong14,ROWS($1:16)),)="331",OFFSET(TH!M$1,SMALL(Dong14,ROWS($1:16)),),OFFSET(TH!L$1,SMALL(Dong14,ROWS($1:16)),)))</f>
        <v/>
      </c>
      <c r="F29" s="43"/>
      <c r="G29" s="55" t="str">
        <f ca="1">IF(ROWS($1:16)&gt;COUNT(Dong14),"",IF(OFFSET(TH!L$1,SMALL(Dong14,ROWS($1:16)),)="131",OFFSET(TH!K$1,SMALL(Dong14,ROWS($1:16)),),0))</f>
        <v/>
      </c>
      <c r="H29" s="55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13" t="str">
        <f ca="1">IF(ROWS($1:17)&gt;COUNT(Dong14),"",OFFSET(TH!F$1,SMALL(Dong14,ROWS($1:17)),))</f>
        <v/>
      </c>
      <c r="E30" s="43" t="str">
        <f ca="1">IF(ROWS($1:17)&gt;COUNT(Dong14),"",IF(OFFSET(TH!L$1,SMALL(Dong14,ROWS($1:17)),)="331",OFFSET(TH!M$1,SMALL(Dong14,ROWS($1:17)),),OFFSET(TH!L$1,SMALL(Dong14,ROWS($1:17)),)))</f>
        <v/>
      </c>
      <c r="F30" s="43"/>
      <c r="G30" s="55" t="str">
        <f ca="1">IF(ROWS($1:17)&gt;COUNT(Dong14),"",IF(OFFSET(TH!L$1,SMALL(Dong14,ROWS($1:17)),)="131",OFFSET(TH!K$1,SMALL(Dong14,ROWS($1:17)),),0))</f>
        <v/>
      </c>
      <c r="H30" s="55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07"/>
      <c r="B31" s="207"/>
      <c r="C31" s="207"/>
      <c r="D31" s="208"/>
      <c r="E31" s="209"/>
      <c r="F31" s="209"/>
      <c r="G31" s="210"/>
      <c r="H31" s="210"/>
      <c r="I31" s="211"/>
      <c r="J31" s="211"/>
    </row>
    <row r="32" spans="1:10" s="18" customFormat="1" ht="18" customHeight="1">
      <c r="A32" s="24"/>
      <c r="B32" s="516"/>
      <c r="C32" s="26"/>
      <c r="D32" s="23" t="s">
        <v>33</v>
      </c>
      <c r="E32" s="516" t="s">
        <v>19</v>
      </c>
      <c r="F32" s="516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516"/>
      <c r="C33" s="516"/>
      <c r="D33" s="23" t="s">
        <v>10</v>
      </c>
      <c r="E33" s="516" t="s">
        <v>19</v>
      </c>
      <c r="F33" s="516" t="s">
        <v>19</v>
      </c>
      <c r="G33" s="27" t="s">
        <v>19</v>
      </c>
      <c r="H33" s="27" t="s">
        <v>19</v>
      </c>
      <c r="I33" s="27" t="e">
        <f ca="1">MAX(I13+G32-H32-J13,0)</f>
        <v>#N/A</v>
      </c>
      <c r="J33" s="27" t="e">
        <f ca="1">MAX(J13+H32-G32-I13,0)</f>
        <v>#N/A</v>
      </c>
    </row>
    <row r="34" spans="1:11" s="18" customFormat="1" ht="6" customHeight="1">
      <c r="B34" s="510"/>
      <c r="C34" s="510"/>
      <c r="E34" s="510"/>
    </row>
    <row r="35" spans="1:11" s="18" customFormat="1" ht="14.25" customHeight="1">
      <c r="A35" s="28" t="s">
        <v>152</v>
      </c>
      <c r="B35" s="510"/>
      <c r="C35" s="510"/>
      <c r="E35" s="510"/>
      <c r="K35" s="28" t="s">
        <v>152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510"/>
      <c r="C36" s="510"/>
      <c r="E36" s="510"/>
      <c r="K36" s="28" t="s">
        <v>34</v>
      </c>
    </row>
    <row r="37" spans="1:11" s="18" customFormat="1" ht="14.25" customHeight="1">
      <c r="B37" s="510"/>
      <c r="C37" s="510"/>
      <c r="E37" s="781" t="e">
        <f ca="1">"Ngày 31 tháng  12  năm  "&amp;YEAR($A$14)</f>
        <v>#VALUE!</v>
      </c>
      <c r="F37" s="781"/>
      <c r="G37" s="781"/>
      <c r="H37" s="781"/>
      <c r="I37" s="781"/>
      <c r="J37" s="781"/>
    </row>
    <row r="38" spans="1:11" s="18" customFormat="1" ht="14.25" customHeight="1">
      <c r="C38" s="510" t="s">
        <v>11</v>
      </c>
      <c r="E38" s="781" t="s">
        <v>12</v>
      </c>
      <c r="F38" s="781"/>
      <c r="G38" s="781"/>
      <c r="H38" s="781"/>
      <c r="I38" s="781"/>
      <c r="J38" s="781"/>
    </row>
    <row r="39" spans="1:11" s="18" customFormat="1" ht="14.25" customHeight="1">
      <c r="C39" s="510" t="s">
        <v>13</v>
      </c>
      <c r="E39" s="781" t="s">
        <v>13</v>
      </c>
      <c r="F39" s="781"/>
      <c r="G39" s="781"/>
      <c r="H39" s="781"/>
      <c r="I39" s="781"/>
      <c r="J39" s="781"/>
    </row>
    <row r="40" spans="1:11" s="29" customFormat="1"/>
    <row r="46" spans="1:11" ht="15">
      <c r="C46" s="511" t="s">
        <v>151</v>
      </c>
    </row>
  </sheetData>
  <autoFilter ref="A12:J25"/>
  <mergeCells count="15">
    <mergeCell ref="A10:A11"/>
    <mergeCell ref="B10:C10"/>
    <mergeCell ref="D10:D11"/>
    <mergeCell ref="E10:E11"/>
    <mergeCell ref="F10:F11"/>
    <mergeCell ref="H1:J1"/>
    <mergeCell ref="H2:J3"/>
    <mergeCell ref="A4:J4"/>
    <mergeCell ref="E7:H7"/>
    <mergeCell ref="C9:J9"/>
    <mergeCell ref="G10:H10"/>
    <mergeCell ref="I10:J10"/>
    <mergeCell ref="E37:J37"/>
    <mergeCell ref="E38:J38"/>
    <mergeCell ref="E39:J39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5"/>
  <sheetViews>
    <sheetView showZeros="0" topLeftCell="A3" workbookViewId="0">
      <pane ySplit="3" topLeftCell="A6" activePane="bottomLeft" state="frozen"/>
      <selection activeCell="A3" sqref="A3"/>
      <selection pane="bottomLeft" activeCell="A10" sqref="A10:XFD10"/>
    </sheetView>
  </sheetViews>
  <sheetFormatPr defaultColWidth="8" defaultRowHeight="13.5"/>
  <cols>
    <col min="1" max="1" width="5.5703125" style="176" customWidth="1"/>
    <col min="2" max="2" width="59.140625" style="176" customWidth="1"/>
    <col min="3" max="8" width="16.42578125" style="176" customWidth="1"/>
    <col min="9" max="16384" width="8" style="176"/>
  </cols>
  <sheetData>
    <row r="1" spans="1:9">
      <c r="A1" s="714" t="str">
        <f>TH!$A$1</f>
        <v>Đơn vị: CÔNG TY TNHH MỘT THÀNH VIÊN KHỞI NGUYÊN AN</v>
      </c>
    </row>
    <row r="2" spans="1:9">
      <c r="A2" s="715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817" t="s">
        <v>102</v>
      </c>
      <c r="B3" s="817"/>
      <c r="C3" s="817"/>
      <c r="D3" s="817"/>
      <c r="E3" s="817"/>
      <c r="F3" s="817"/>
      <c r="G3" s="817"/>
      <c r="H3" s="817"/>
    </row>
    <row r="4" spans="1:9" s="10" customFormat="1" ht="14.25" customHeight="1">
      <c r="A4" s="818" t="s">
        <v>35</v>
      </c>
      <c r="B4" s="820" t="s">
        <v>36</v>
      </c>
      <c r="C4" s="822" t="s">
        <v>37</v>
      </c>
      <c r="D4" s="823"/>
      <c r="E4" s="822" t="s">
        <v>38</v>
      </c>
      <c r="F4" s="823"/>
      <c r="G4" s="822" t="s">
        <v>41</v>
      </c>
      <c r="H4" s="823"/>
    </row>
    <row r="5" spans="1:9" s="10" customFormat="1" ht="14.25" customHeight="1">
      <c r="A5" s="819"/>
      <c r="B5" s="821"/>
      <c r="C5" s="191" t="s">
        <v>42</v>
      </c>
      <c r="D5" s="191" t="s">
        <v>43</v>
      </c>
      <c r="E5" s="191" t="s">
        <v>42</v>
      </c>
      <c r="F5" s="191" t="s">
        <v>43</v>
      </c>
      <c r="G5" s="191" t="s">
        <v>42</v>
      </c>
      <c r="H5" s="191" t="s">
        <v>43</v>
      </c>
    </row>
    <row r="6" spans="1:9" s="10" customFormat="1" ht="16.5" customHeight="1">
      <c r="A6" s="6">
        <f>IF(B6&lt;&gt;"",ROW()-5,"")</f>
        <v>1</v>
      </c>
      <c r="B6" s="7" t="s">
        <v>390</v>
      </c>
      <c r="C6" s="8"/>
      <c r="D6" s="8"/>
      <c r="E6" s="8">
        <f t="array" ref="E6">SUM(IF("331"&amp;B6=KHN&amp;KH,TH))</f>
        <v>198481472</v>
      </c>
      <c r="F6" s="8">
        <f t="array" ref="F6">SUM(IF("331"&amp;B6=KHC&amp;KH,TH))</f>
        <v>198481472</v>
      </c>
      <c r="G6" s="52">
        <f t="shared" ref="G6:G7" si="0">ROUND(MAX(C6+E6-D6-F6,0),2)</f>
        <v>0</v>
      </c>
      <c r="H6" s="52">
        <f t="shared" ref="H6:H7" si="1">ROUND(MAX(D6+F6-C6-E6,0),2)</f>
        <v>0</v>
      </c>
      <c r="I6" s="10" t="str">
        <f>IF(ISNA(VLOOKUP(B6,'331'!$B$4:$B$15,1,0)),"","x")</f>
        <v/>
      </c>
    </row>
    <row r="7" spans="1:9" s="10" customFormat="1" ht="16.5" customHeight="1">
      <c r="A7" s="6">
        <f t="shared" ref="A7" si="2">IF(B7&lt;&gt;"",ROW()-5,"")</f>
        <v>2</v>
      </c>
      <c r="B7" s="7" t="s">
        <v>413</v>
      </c>
      <c r="C7" s="8"/>
      <c r="D7" s="8"/>
      <c r="E7" s="8">
        <f t="array" ref="E7">SUM(IF("331"&amp;B7=KHN&amp;KH,TH))</f>
        <v>13550900</v>
      </c>
      <c r="F7" s="8">
        <f t="array" ref="F7">SUM(IF("331"&amp;B7=KHC&amp;KH,TH))</f>
        <v>13550900</v>
      </c>
      <c r="G7" s="52">
        <f t="shared" si="0"/>
        <v>0</v>
      </c>
      <c r="H7" s="52">
        <f t="shared" si="1"/>
        <v>0</v>
      </c>
      <c r="I7" s="10" t="str">
        <f>IF(ISNA(VLOOKUP(B7,'331'!$B$4:$B$15,1,0)),"","x")</f>
        <v/>
      </c>
    </row>
    <row r="8" spans="1:9" s="10" customFormat="1" ht="16.5" customHeight="1">
      <c r="A8" s="6" t="str">
        <f>IF(B8&lt;&gt;"",ROW()-3,"")</f>
        <v/>
      </c>
      <c r="B8" s="42"/>
      <c r="C8" s="8"/>
      <c r="D8" s="8"/>
      <c r="E8" s="463"/>
      <c r="F8" s="463"/>
      <c r="G8" s="464"/>
      <c r="H8" s="464"/>
      <c r="I8" s="10" t="str">
        <f>IF(ISNA(VLOOKUP(B8,'331'!$B$4:$B$15,1,0)),"","x")</f>
        <v/>
      </c>
    </row>
    <row r="9" spans="1:9" s="14" customFormat="1" ht="14.25" customHeight="1">
      <c r="A9" s="11"/>
      <c r="B9" s="12" t="s">
        <v>39</v>
      </c>
      <c r="C9" s="13">
        <f t="shared" ref="C9:H9" si="3">SUM(C6:C8)</f>
        <v>0</v>
      </c>
      <c r="D9" s="13">
        <f t="shared" si="3"/>
        <v>0</v>
      </c>
      <c r="E9" s="13">
        <f t="shared" si="3"/>
        <v>212032372</v>
      </c>
      <c r="F9" s="13">
        <f t="shared" si="3"/>
        <v>212032372</v>
      </c>
      <c r="G9" s="13">
        <f t="shared" si="3"/>
        <v>0</v>
      </c>
      <c r="H9" s="13">
        <f t="shared" si="3"/>
        <v>0</v>
      </c>
    </row>
    <row r="10" spans="1:9">
      <c r="E10" s="15">
        <f>CDPS!E21</f>
        <v>212032372</v>
      </c>
      <c r="F10" s="15">
        <f>CDPS!F21</f>
        <v>212032372</v>
      </c>
    </row>
    <row r="11" spans="1:9">
      <c r="E11" s="15">
        <f>E9-E10</f>
        <v>0</v>
      </c>
      <c r="F11" s="15">
        <f>F9-F10</f>
        <v>0</v>
      </c>
    </row>
    <row r="13" spans="1:9">
      <c r="E13" s="15"/>
      <c r="F13" s="816" t="s">
        <v>344</v>
      </c>
      <c r="G13" s="816"/>
      <c r="H13" s="816"/>
    </row>
    <row r="14" spans="1:9">
      <c r="F14" s="816" t="s">
        <v>109</v>
      </c>
      <c r="G14" s="816"/>
      <c r="H14" s="816"/>
    </row>
    <row r="15" spans="1:9">
      <c r="E15" s="177"/>
      <c r="F15" s="816" t="s">
        <v>136</v>
      </c>
      <c r="G15" s="816"/>
      <c r="H15" s="816"/>
    </row>
  </sheetData>
  <mergeCells count="9">
    <mergeCell ref="F13:H13"/>
    <mergeCell ref="F14:H14"/>
    <mergeCell ref="F15:H15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5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520" t="str">
        <f>TH!A1</f>
        <v>Đơn vị: CÔNG TY TNHH MỘT THÀNH VIÊN KHỞI NGUYÊN AN</v>
      </c>
      <c r="B1" s="16"/>
      <c r="C1" s="16"/>
      <c r="G1" s="2"/>
      <c r="H1" s="826" t="s">
        <v>46</v>
      </c>
      <c r="I1" s="826"/>
      <c r="J1" s="826"/>
    </row>
    <row r="2" spans="1:10" s="3" customFormat="1" ht="14.25" customHeight="1">
      <c r="A2" s="519" t="str">
        <f>TH!A2</f>
        <v>Địa chỉ: Thửa đất số 144, tờ bản đồ số 12TĐH.1, tổ 1, khu phố Đông Tác, Phường Tân Đông Hiệp, Thị Xã Dĩ An, Tỉnh Bình Dương, Việt Nam</v>
      </c>
      <c r="B2" s="16"/>
      <c r="C2" s="16"/>
      <c r="G2" s="17"/>
      <c r="H2" s="827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2" s="827"/>
      <c r="J2" s="827"/>
    </row>
    <row r="3" spans="1:10" s="3" customFormat="1" ht="14.25" customHeight="1">
      <c r="A3" s="4"/>
      <c r="B3" s="16"/>
      <c r="C3" s="16"/>
      <c r="G3" s="17"/>
      <c r="H3" s="827"/>
      <c r="I3" s="827"/>
      <c r="J3" s="827"/>
    </row>
    <row r="4" spans="1:10" s="5" customFormat="1" ht="28.5" customHeight="1">
      <c r="A4" s="828" t="s">
        <v>26</v>
      </c>
      <c r="B4" s="828"/>
      <c r="C4" s="828"/>
      <c r="D4" s="828"/>
      <c r="E4" s="828"/>
      <c r="F4" s="828"/>
      <c r="G4" s="828"/>
      <c r="H4" s="828"/>
      <c r="I4" s="828"/>
      <c r="J4" s="828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829" t="s">
        <v>390</v>
      </c>
      <c r="F7" s="829"/>
      <c r="G7" s="829"/>
      <c r="H7" s="829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830"/>
      <c r="D9" s="830"/>
      <c r="E9" s="830"/>
      <c r="F9" s="830"/>
      <c r="G9" s="830"/>
      <c r="H9" s="830"/>
      <c r="I9" s="830"/>
      <c r="J9" s="830"/>
    </row>
    <row r="10" spans="1:10" s="18" customFormat="1" ht="14.25" customHeight="1">
      <c r="A10" s="793" t="s">
        <v>20</v>
      </c>
      <c r="B10" s="831" t="s">
        <v>1</v>
      </c>
      <c r="C10" s="831"/>
      <c r="D10" s="793" t="s">
        <v>0</v>
      </c>
      <c r="E10" s="793" t="s">
        <v>14</v>
      </c>
      <c r="F10" s="793" t="s">
        <v>30</v>
      </c>
      <c r="G10" s="824" t="s">
        <v>21</v>
      </c>
      <c r="H10" s="825"/>
      <c r="I10" s="824" t="s">
        <v>31</v>
      </c>
      <c r="J10" s="825"/>
    </row>
    <row r="11" spans="1:10" s="18" customFormat="1" ht="24.75" customHeight="1">
      <c r="A11" s="793"/>
      <c r="B11" s="30" t="s">
        <v>15</v>
      </c>
      <c r="C11" s="30" t="s">
        <v>32</v>
      </c>
      <c r="D11" s="793"/>
      <c r="E11" s="793"/>
      <c r="F11" s="793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4">
        <f>VLOOKUP($E$7,'331'!$B$6:$H$8,2,0)</f>
        <v>0</v>
      </c>
      <c r="J13" s="44">
        <f>VLOOKUP($E$7,'331'!$B$6:$H$8,3,0)</f>
        <v>0</v>
      </c>
    </row>
    <row r="14" spans="1:10" s="18" customFormat="1" ht="18" customHeight="1">
      <c r="A14" s="9">
        <f ca="1">IF(ROWS($1:1)&gt;COUNT(Dong),"",OFFSET(TH!C$1,SMALL(Dong,ROWS($1:1)),))</f>
        <v>41153</v>
      </c>
      <c r="B14" s="9" t="str">
        <f ca="1">IF(ROWS($1:1)&gt;COUNT(Dong),"",OFFSET(TH!D$1,SMALL(Dong,ROWS($1:1)),))</f>
        <v>N01</v>
      </c>
      <c r="C14" s="9">
        <f ca="1">IF(ROWS($1:1)&gt;COUNT(Dong),"",OFFSET(TH!E$1,SMALL(Dong,ROWS($1:1)),))</f>
        <v>41153</v>
      </c>
      <c r="D14" s="213" t="str">
        <f ca="1">IF(ROWS($1:1)&gt;COUNT(Dong),"",OFFSET(TH!F$1,SMALL(Dong,ROWS($1:1)),))</f>
        <v>Giấy tấm 1N +2X (110x162)</v>
      </c>
      <c r="E14" s="43" t="str">
        <f ca="1">IF(ROWS($1:1)&gt;COUNT(Dong),"",IF(OFFSET(TH!L$1,SMALL(Dong,ROWS($1:1)),)="331",OFFSET(TH!M$1,SMALL(Dong,ROWS($1:1)),),OFFSET(TH!L$1,SMALL(Dong,ROWS($1:1)),)))</f>
        <v>156</v>
      </c>
      <c r="F14" s="43"/>
      <c r="G14" s="55">
        <f ca="1">IF(ROWS($1:1)&gt;COUNT(Dong),"",IF(OFFSET(TH!L$1,SMALL(Dong,ROWS($1:1)),)="331",OFFSET(TH!K$1,SMALL(Dong,ROWS($1:1)),),0))</f>
        <v>0</v>
      </c>
      <c r="H14" s="55">
        <f ca="1">IF(ROWS($1:1)&gt;COUNT(Dong),"",IF(OFFSET(TH!M$1,SMALL(Dong,ROWS($1:1)),)="331",OFFSET(TH!K$1,SMALL(Dong,ROWS($1:1)),),0))</f>
        <v>6628800</v>
      </c>
      <c r="I14" s="25">
        <f ca="1">IF(D14&lt;&gt;"",MAX(I13+G14-H14-J13,0),0)</f>
        <v>0</v>
      </c>
      <c r="J14" s="25">
        <f ca="1">IF(D14&lt;&gt;"",MAX(J13+H14-I13-G14,0),0)</f>
        <v>6628800</v>
      </c>
    </row>
    <row r="15" spans="1:10" s="18" customFormat="1" ht="18" customHeight="1">
      <c r="A15" s="9">
        <f ca="1">IF(ROWS($1:2)&gt;COUNT(Dong),"",OFFSET(TH!C$1,SMALL(Dong,ROWS($1:2)),))</f>
        <v>41153</v>
      </c>
      <c r="B15" s="9" t="str">
        <f ca="1">IF(ROWS($1:2)&gt;COUNT(Dong),"",OFFSET(TH!D$1,SMALL(Dong,ROWS($1:2)),))</f>
        <v>N01</v>
      </c>
      <c r="C15" s="9">
        <f ca="1">IF(ROWS($1:2)&gt;COUNT(Dong),"",OFFSET(TH!E$1,SMALL(Dong,ROWS($1:2)),))</f>
        <v>41153</v>
      </c>
      <c r="D15" s="213" t="str">
        <f ca="1">IF(ROWS($1:2)&gt;COUNT(Dong),"",OFFSET(TH!F$1,SMALL(Dong,ROWS($1:2)),))</f>
        <v>Giấy tấm 1N +2X (110x159)</v>
      </c>
      <c r="E15" s="43" t="str">
        <f ca="1">IF(ROWS($1:2)&gt;COUNT(Dong),"",IF(OFFSET(TH!L$1,SMALL(Dong,ROWS($1:2)),)="331",OFFSET(TH!M$1,SMALL(Dong,ROWS($1:2)),),OFFSET(TH!L$1,SMALL(Dong,ROWS($1:2)),)))</f>
        <v>156</v>
      </c>
      <c r="F15" s="43"/>
      <c r="G15" s="55">
        <f ca="1">IF(ROWS($1:2)&gt;COUNT(Dong),"",IF(OFFSET(TH!L$1,SMALL(Dong,ROWS($1:2)),)="331",OFFSET(TH!K$1,SMALL(Dong,ROWS($1:2)),),0))</f>
        <v>0</v>
      </c>
      <c r="H15" s="55">
        <f ca="1">IF(ROWS($1:2)&gt;COUNT(Dong),"",IF(OFFSET(TH!M$1,SMALL(Dong,ROWS($1:2)),)="331",OFFSET(TH!K$1,SMALL(Dong,ROWS($1:2)),),0))</f>
        <v>6506400</v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13135200</v>
      </c>
    </row>
    <row r="16" spans="1:10" s="18" customFormat="1" ht="18" customHeight="1">
      <c r="A16" s="9">
        <f ca="1">IF(ROWS($1:3)&gt;COUNT(Dong),"",OFFSET(TH!C$1,SMALL(Dong,ROWS($1:3)),))</f>
        <v>41153</v>
      </c>
      <c r="B16" s="9" t="str">
        <f ca="1">IF(ROWS($1:3)&gt;COUNT(Dong),"",OFFSET(TH!D$1,SMALL(Dong,ROWS($1:3)),))</f>
        <v>N01</v>
      </c>
      <c r="C16" s="9">
        <f ca="1">IF(ROWS($1:3)&gt;COUNT(Dong),"",OFFSET(TH!E$1,SMALL(Dong,ROWS($1:3)),))</f>
        <v>41153</v>
      </c>
      <c r="D16" s="213" t="str">
        <f ca="1">IF(ROWS($1:3)&gt;COUNT(Dong),"",OFFSET(TH!F$1,SMALL(Dong,ROWS($1:3)),))</f>
        <v xml:space="preserve">VAT Giấy tấm </v>
      </c>
      <c r="E16" s="43" t="str">
        <f ca="1">IF(ROWS($1:3)&gt;COUNT(Dong),"",IF(OFFSET(TH!L$1,SMALL(Dong,ROWS($1:3)),)="331",OFFSET(TH!M$1,SMALL(Dong,ROWS($1:3)),),OFFSET(TH!L$1,SMALL(Dong,ROWS($1:3)),)))</f>
        <v>1331</v>
      </c>
      <c r="F16" s="43"/>
      <c r="G16" s="55">
        <f ca="1">IF(ROWS($1:3)&gt;COUNT(Dong),"",IF(OFFSET(TH!L$1,SMALL(Dong,ROWS($1:3)),)="331",OFFSET(TH!K$1,SMALL(Dong,ROWS($1:3)),),0))</f>
        <v>0</v>
      </c>
      <c r="H16" s="55">
        <f ca="1">IF(ROWS($1:3)&gt;COUNT(Dong),"",IF(OFFSET(TH!M$1,SMALL(Dong,ROWS($1:3)),)="331",OFFSET(TH!K$1,SMALL(Dong,ROWS($1:3)),),0))</f>
        <v>1313520</v>
      </c>
      <c r="I16" s="25">
        <f t="shared" ca="1" si="0"/>
        <v>0</v>
      </c>
      <c r="J16" s="25">
        <f t="shared" ca="1" si="1"/>
        <v>14448720</v>
      </c>
    </row>
    <row r="17" spans="1:10" s="18" customFormat="1" ht="18" customHeight="1">
      <c r="A17" s="9">
        <f ca="1">IF(ROWS($1:4)&gt;COUNT(Dong),"",OFFSET(TH!C$1,SMALL(Dong,ROWS($1:4)),))</f>
        <v>41153</v>
      </c>
      <c r="B17" s="9" t="str">
        <f ca="1">IF(ROWS($1:4)&gt;COUNT(Dong),"",OFFSET(TH!D$1,SMALL(Dong,ROWS($1:4)),))</f>
        <v>C04</v>
      </c>
      <c r="C17" s="9">
        <f ca="1">IF(ROWS($1:4)&gt;COUNT(Dong),"",OFFSET(TH!E$1,SMALL(Dong,ROWS($1:4)),))</f>
        <v>41153</v>
      </c>
      <c r="D17" s="213" t="str">
        <f ca="1">IF(ROWS($1:4)&gt;COUNT(Dong),"",OFFSET(TH!F$1,SMALL(Dong,ROWS($1:4)),))</f>
        <v>Thanh toán tiền hàng</v>
      </c>
      <c r="E17" s="43" t="str">
        <f ca="1">IF(ROWS($1:4)&gt;COUNT(Dong),"",IF(OFFSET(TH!L$1,SMALL(Dong,ROWS($1:4)),)="331",OFFSET(TH!M$1,SMALL(Dong,ROWS($1:4)),),OFFSET(TH!L$1,SMALL(Dong,ROWS($1:4)),)))</f>
        <v>1111</v>
      </c>
      <c r="F17" s="43"/>
      <c r="G17" s="55">
        <f ca="1">IF(ROWS($1:4)&gt;COUNT(Dong),"",IF(OFFSET(TH!L$1,SMALL(Dong,ROWS($1:4)),)="331",OFFSET(TH!K$1,SMALL(Dong,ROWS($1:4)),),0))</f>
        <v>14448720</v>
      </c>
      <c r="H17" s="55">
        <f ca="1">IF(ROWS($1:4)&gt;COUNT(Dong),"",IF(OFFSET(TH!M$1,SMALL(Dong,ROWS($1:4)),)="331",OFFSET(TH!K$1,SMALL(Dong,ROWS($1:4)),),0))</f>
        <v>0</v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>
        <f ca="1">IF(ROWS($1:5)&gt;COUNT(Dong),"",OFFSET(TH!C$1,SMALL(Dong,ROWS($1:5)),))</f>
        <v>41155</v>
      </c>
      <c r="B18" s="9" t="str">
        <f ca="1">IF(ROWS($1:5)&gt;COUNT(Dong),"",OFFSET(TH!D$1,SMALL(Dong,ROWS($1:5)),))</f>
        <v>N02</v>
      </c>
      <c r="C18" s="9">
        <f ca="1">IF(ROWS($1:5)&gt;COUNT(Dong),"",OFFSET(TH!E$1,SMALL(Dong,ROWS($1:5)),))</f>
        <v>41155</v>
      </c>
      <c r="D18" s="213" t="str">
        <f ca="1">IF(ROWS($1:5)&gt;COUNT(Dong),"",OFFSET(TH!F$1,SMALL(Dong,ROWS($1:5)),))</f>
        <v>Giấy tấm 1N +2X (105x159)</v>
      </c>
      <c r="E18" s="43" t="str">
        <f ca="1">IF(ROWS($1:5)&gt;COUNT(Dong),"",IF(OFFSET(TH!L$1,SMALL(Dong,ROWS($1:5)),)="331",OFFSET(TH!M$1,SMALL(Dong,ROWS($1:5)),),OFFSET(TH!L$1,SMALL(Dong,ROWS($1:5)),)))</f>
        <v>156</v>
      </c>
      <c r="F18" s="43"/>
      <c r="G18" s="55">
        <f ca="1">IF(ROWS($1:5)&gt;COUNT(Dong),"",IF(OFFSET(TH!L$1,SMALL(Dong,ROWS($1:5)),)="331",OFFSET(TH!K$1,SMALL(Dong,ROWS($1:5)),),0))</f>
        <v>0</v>
      </c>
      <c r="H18" s="55">
        <f ca="1">IF(ROWS($1:5)&gt;COUNT(Dong),"",IF(OFFSET(TH!M$1,SMALL(Dong,ROWS($1:5)),)="331",OFFSET(TH!K$1,SMALL(Dong,ROWS($1:5)),),0))</f>
        <v>5143000</v>
      </c>
      <c r="I18" s="25">
        <f t="shared" ca="1" si="0"/>
        <v>0</v>
      </c>
      <c r="J18" s="25">
        <f t="shared" ca="1" si="1"/>
        <v>5143000</v>
      </c>
    </row>
    <row r="19" spans="1:10" s="18" customFormat="1" ht="18" customHeight="1">
      <c r="A19" s="9">
        <f ca="1">IF(ROWS($1:6)&gt;COUNT(Dong),"",OFFSET(TH!C$1,SMALL(Dong,ROWS($1:6)),))</f>
        <v>41155</v>
      </c>
      <c r="B19" s="9" t="str">
        <f ca="1">IF(ROWS($1:6)&gt;COUNT(Dong),"",OFFSET(TH!D$1,SMALL(Dong,ROWS($1:6)),))</f>
        <v>N02</v>
      </c>
      <c r="C19" s="9">
        <f ca="1">IF(ROWS($1:6)&gt;COUNT(Dong),"",OFFSET(TH!E$1,SMALL(Dong,ROWS($1:6)),))</f>
        <v>41155</v>
      </c>
      <c r="D19" s="213" t="str">
        <f ca="1">IF(ROWS($1:6)&gt;COUNT(Dong),"",OFFSET(TH!F$1,SMALL(Dong,ROWS($1:6)),))</f>
        <v>Giấy tấm 1N +2X (115x163)</v>
      </c>
      <c r="E19" s="43" t="str">
        <f ca="1">IF(ROWS($1:6)&gt;COUNT(Dong),"",IF(OFFSET(TH!L$1,SMALL(Dong,ROWS($1:6)),)="331",OFFSET(TH!M$1,SMALL(Dong,ROWS($1:6)),),OFFSET(TH!L$1,SMALL(Dong,ROWS($1:6)),)))</f>
        <v>156</v>
      </c>
      <c r="F19" s="43"/>
      <c r="G19" s="55">
        <f ca="1">IF(ROWS($1:6)&gt;COUNT(Dong),"",IF(OFFSET(TH!L$1,SMALL(Dong,ROWS($1:6)),)="331",OFFSET(TH!K$1,SMALL(Dong,ROWS($1:6)),),0))</f>
        <v>0</v>
      </c>
      <c r="H19" s="55">
        <f ca="1">IF(ROWS($1:6)&gt;COUNT(Dong),"",IF(OFFSET(TH!M$1,SMALL(Dong,ROWS($1:6)),)="331",OFFSET(TH!K$1,SMALL(Dong,ROWS($1:6)),),0))</f>
        <v>5811000</v>
      </c>
      <c r="I19" s="25">
        <f t="shared" ca="1" si="0"/>
        <v>0</v>
      </c>
      <c r="J19" s="25">
        <f t="shared" ca="1" si="1"/>
        <v>10954000</v>
      </c>
    </row>
    <row r="20" spans="1:10" s="18" customFormat="1" ht="18" customHeight="1">
      <c r="A20" s="9">
        <f ca="1">IF(ROWS($1:7)&gt;COUNT(Dong),"",OFFSET(TH!C$1,SMALL(Dong,ROWS($1:7)),))</f>
        <v>41155</v>
      </c>
      <c r="B20" s="9" t="str">
        <f ca="1">IF(ROWS($1:7)&gt;COUNT(Dong),"",OFFSET(TH!D$1,SMALL(Dong,ROWS($1:7)),))</f>
        <v>N02</v>
      </c>
      <c r="C20" s="9">
        <f ca="1">IF(ROWS($1:7)&gt;COUNT(Dong),"",OFFSET(TH!E$1,SMALL(Dong,ROWS($1:7)),))</f>
        <v>41155</v>
      </c>
      <c r="D20" s="213" t="str">
        <f ca="1">IF(ROWS($1:7)&gt;COUNT(Dong),"",OFFSET(TH!F$1,SMALL(Dong,ROWS($1:7)),))</f>
        <v xml:space="preserve">VAT Giấy tấm </v>
      </c>
      <c r="E20" s="43" t="str">
        <f ca="1">IF(ROWS($1:7)&gt;COUNT(Dong),"",IF(OFFSET(TH!L$1,SMALL(Dong,ROWS($1:7)),)="331",OFFSET(TH!M$1,SMALL(Dong,ROWS($1:7)),),OFFSET(TH!L$1,SMALL(Dong,ROWS($1:7)),)))</f>
        <v>1331</v>
      </c>
      <c r="F20" s="43"/>
      <c r="G20" s="55">
        <f ca="1">IF(ROWS($1:7)&gt;COUNT(Dong),"",IF(OFFSET(TH!L$1,SMALL(Dong,ROWS($1:7)),)="331",OFFSET(TH!K$1,SMALL(Dong,ROWS($1:7)),),0))</f>
        <v>0</v>
      </c>
      <c r="H20" s="55">
        <f ca="1">IF(ROWS($1:7)&gt;COUNT(Dong),"",IF(OFFSET(TH!M$1,SMALL(Dong,ROWS($1:7)),)="331",OFFSET(TH!K$1,SMALL(Dong,ROWS($1:7)),),0))</f>
        <v>1095400</v>
      </c>
      <c r="I20" s="25">
        <f t="shared" ca="1" si="0"/>
        <v>0</v>
      </c>
      <c r="J20" s="25">
        <f t="shared" ca="1" si="1"/>
        <v>12049400</v>
      </c>
    </row>
    <row r="21" spans="1:10" s="18" customFormat="1" ht="18" customHeight="1">
      <c r="A21" s="9">
        <f ca="1">IF(ROWS($1:8)&gt;COUNT(Dong),"",OFFSET(TH!C$1,SMALL(Dong,ROWS($1:8)),))</f>
        <v>41155</v>
      </c>
      <c r="B21" s="9" t="str">
        <f ca="1">IF(ROWS($1:8)&gt;COUNT(Dong),"",OFFSET(TH!D$1,SMALL(Dong,ROWS($1:8)),))</f>
        <v>C05</v>
      </c>
      <c r="C21" s="9">
        <f ca="1">IF(ROWS($1:8)&gt;COUNT(Dong),"",OFFSET(TH!E$1,SMALL(Dong,ROWS($1:8)),))</f>
        <v>41155</v>
      </c>
      <c r="D21" s="213" t="str">
        <f ca="1">IF(ROWS($1:8)&gt;COUNT(Dong),"",OFFSET(TH!F$1,SMALL(Dong,ROWS($1:8)),))</f>
        <v>Thanh toán tiền hàng</v>
      </c>
      <c r="E21" s="43" t="str">
        <f ca="1">IF(ROWS($1:8)&gt;COUNT(Dong),"",IF(OFFSET(TH!L$1,SMALL(Dong,ROWS($1:8)),)="331",OFFSET(TH!M$1,SMALL(Dong,ROWS($1:8)),),OFFSET(TH!L$1,SMALL(Dong,ROWS($1:8)),)))</f>
        <v>1111</v>
      </c>
      <c r="F21" s="43"/>
      <c r="G21" s="55">
        <f ca="1">IF(ROWS($1:8)&gt;COUNT(Dong),"",IF(OFFSET(TH!L$1,SMALL(Dong,ROWS($1:8)),)="331",OFFSET(TH!K$1,SMALL(Dong,ROWS($1:8)),),0))</f>
        <v>12049400</v>
      </c>
      <c r="H21" s="55">
        <f ca="1">IF(ROWS($1:8)&gt;COUNT(Dong),"",IF(OFFSET(TH!M$1,SMALL(Dong,ROWS($1:8)),)="331",OFFSET(TH!K$1,SMALL(Dong,ROWS($1:8)),),0))</f>
        <v>0</v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0</v>
      </c>
    </row>
    <row r="22" spans="1:10" s="18" customFormat="1" ht="18" customHeight="1">
      <c r="A22" s="9">
        <f ca="1">IF(ROWS($1:9)&gt;COUNT(Dong),"",OFFSET(TH!C$1,SMALL(Dong,ROWS($1:9)),))</f>
        <v>41156</v>
      </c>
      <c r="B22" s="9" t="str">
        <f ca="1">IF(ROWS($1:9)&gt;COUNT(Dong),"",OFFSET(TH!D$1,SMALL(Dong,ROWS($1:9)),))</f>
        <v>N03</v>
      </c>
      <c r="C22" s="9">
        <f ca="1">IF(ROWS($1:9)&gt;COUNT(Dong),"",OFFSET(TH!E$1,SMALL(Dong,ROWS($1:9)),))</f>
        <v>41156</v>
      </c>
      <c r="D22" s="213" t="str">
        <f ca="1">IF(ROWS($1:9)&gt;COUNT(Dong),"",OFFSET(TH!F$1,SMALL(Dong,ROWS($1:9)),))</f>
        <v>Giấy tấm 1N +2X (110x151)</v>
      </c>
      <c r="E22" s="43" t="str">
        <f ca="1">IF(ROWS($1:9)&gt;COUNT(Dong),"",IF(OFFSET(TH!L$1,SMALL(Dong,ROWS($1:9)),)="331",OFFSET(TH!M$1,SMALL(Dong,ROWS($1:9)),),OFFSET(TH!L$1,SMALL(Dong,ROWS($1:9)),)))</f>
        <v>156</v>
      </c>
      <c r="F22" s="43"/>
      <c r="G22" s="55">
        <f ca="1">IF(ROWS($1:9)&gt;COUNT(Dong),"",IF(OFFSET(TH!L$1,SMALL(Dong,ROWS($1:9)),)="331",OFFSET(TH!K$1,SMALL(Dong,ROWS($1:9)),),0))</f>
        <v>0</v>
      </c>
      <c r="H22" s="55">
        <f ca="1">IF(ROWS($1:9)&gt;COUNT(Dong),"",IF(OFFSET(TH!M$1,SMALL(Dong,ROWS($1:9)),)="331",OFFSET(TH!K$1,SMALL(Dong,ROWS($1:9)),),0))</f>
        <v>5663900</v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5663900</v>
      </c>
    </row>
    <row r="23" spans="1:10" s="18" customFormat="1" ht="18" customHeight="1">
      <c r="A23" s="9">
        <f ca="1">IF(ROWS($1:10)&gt;COUNT(Dong),"",OFFSET(TH!C$1,SMALL(Dong,ROWS($1:10)),))</f>
        <v>41156</v>
      </c>
      <c r="B23" s="9" t="str">
        <f ca="1">IF(ROWS($1:10)&gt;COUNT(Dong),"",OFFSET(TH!D$1,SMALL(Dong,ROWS($1:10)),))</f>
        <v>N03</v>
      </c>
      <c r="C23" s="9">
        <f ca="1">IF(ROWS($1:10)&gt;COUNT(Dong),"",OFFSET(TH!E$1,SMALL(Dong,ROWS($1:10)),))</f>
        <v>41156</v>
      </c>
      <c r="D23" s="213" t="str">
        <f ca="1">IF(ROWS($1:10)&gt;COUNT(Dong),"",OFFSET(TH!F$1,SMALL(Dong,ROWS($1:10)),))</f>
        <v>Giấy tấm 1N +2X (145x144)</v>
      </c>
      <c r="E23" s="43" t="str">
        <f ca="1">IF(ROWS($1:10)&gt;COUNT(Dong),"",IF(OFFSET(TH!L$1,SMALL(Dong,ROWS($1:10)),)="331",OFFSET(TH!M$1,SMALL(Dong,ROWS($1:10)),),OFFSET(TH!L$1,SMALL(Dong,ROWS($1:10)),)))</f>
        <v>156</v>
      </c>
      <c r="F23" s="43"/>
      <c r="G23" s="55">
        <f ca="1">IF(ROWS($1:10)&gt;COUNT(Dong),"",IF(OFFSET(TH!L$1,SMALL(Dong,ROWS($1:10)),)="331",OFFSET(TH!K$1,SMALL(Dong,ROWS($1:10)),),0))</f>
        <v>0</v>
      </c>
      <c r="H23" s="55">
        <f ca="1">IF(ROWS($1:10)&gt;COUNT(Dong),"",IF(OFFSET(TH!M$1,SMALL(Dong,ROWS($1:10)),)="331",OFFSET(TH!K$1,SMALL(Dong,ROWS($1:10)),),0))</f>
        <v>8544360</v>
      </c>
      <c r="I23" s="25">
        <f t="shared" ca="1" si="4"/>
        <v>0</v>
      </c>
      <c r="J23" s="25">
        <f t="shared" ca="1" si="5"/>
        <v>14208260</v>
      </c>
    </row>
    <row r="24" spans="1:10" s="18" customFormat="1" ht="18" customHeight="1">
      <c r="A24" s="9">
        <f ca="1">IF(ROWS($1:11)&gt;COUNT(Dong),"",OFFSET(TH!C$1,SMALL(Dong,ROWS($1:11)),))</f>
        <v>41156</v>
      </c>
      <c r="B24" s="9" t="str">
        <f ca="1">IF(ROWS($1:11)&gt;COUNT(Dong),"",OFFSET(TH!D$1,SMALL(Dong,ROWS($1:11)),))</f>
        <v>N03</v>
      </c>
      <c r="C24" s="9">
        <f ca="1">IF(ROWS($1:11)&gt;COUNT(Dong),"",OFFSET(TH!E$1,SMALL(Dong,ROWS($1:11)),))</f>
        <v>41156</v>
      </c>
      <c r="D24" s="213" t="str">
        <f ca="1">IF(ROWS($1:11)&gt;COUNT(Dong),"",OFFSET(TH!F$1,SMALL(Dong,ROWS($1:11)),))</f>
        <v xml:space="preserve">VAT Giấy tấm </v>
      </c>
      <c r="E24" s="43" t="str">
        <f ca="1">IF(ROWS($1:11)&gt;COUNT(Dong),"",IF(OFFSET(TH!L$1,SMALL(Dong,ROWS($1:11)),)="331",OFFSET(TH!M$1,SMALL(Dong,ROWS($1:11)),),OFFSET(TH!L$1,SMALL(Dong,ROWS($1:11)),)))</f>
        <v>1331</v>
      </c>
      <c r="F24" s="43"/>
      <c r="G24" s="55">
        <f ca="1">IF(ROWS($1:11)&gt;COUNT(Dong),"",IF(OFFSET(TH!L$1,SMALL(Dong,ROWS($1:11)),)="331",OFFSET(TH!K$1,SMALL(Dong,ROWS($1:11)),),0))</f>
        <v>0</v>
      </c>
      <c r="H24" s="55">
        <f ca="1">IF(ROWS($1:11)&gt;COUNT(Dong),"",IF(OFFSET(TH!M$1,SMALL(Dong,ROWS($1:11)),)="331",OFFSET(TH!K$1,SMALL(Dong,ROWS($1:11)),),0))</f>
        <v>1420826</v>
      </c>
      <c r="I24" s="25">
        <f t="shared" ca="1" si="4"/>
        <v>0</v>
      </c>
      <c r="J24" s="25">
        <f t="shared" ca="1" si="5"/>
        <v>15629086</v>
      </c>
    </row>
    <row r="25" spans="1:10" s="18" customFormat="1" ht="18" customHeight="1">
      <c r="A25" s="9">
        <f ca="1">IF(ROWS($1:12)&gt;COUNT(Dong),"",OFFSET(TH!C$1,SMALL(Dong,ROWS($1:12)),))</f>
        <v>41156</v>
      </c>
      <c r="B25" s="9" t="str">
        <f ca="1">IF(ROWS($1:12)&gt;COUNT(Dong),"",OFFSET(TH!D$1,SMALL(Dong,ROWS($1:12)),))</f>
        <v>C06</v>
      </c>
      <c r="C25" s="9">
        <f ca="1">IF(ROWS($1:12)&gt;COUNT(Dong),"",OFFSET(TH!E$1,SMALL(Dong,ROWS($1:12)),))</f>
        <v>41156</v>
      </c>
      <c r="D25" s="213" t="str">
        <f ca="1">IF(ROWS($1:12)&gt;COUNT(Dong),"",OFFSET(TH!F$1,SMALL(Dong,ROWS($1:12)),))</f>
        <v>Thanh toán tiền hàng</v>
      </c>
      <c r="E25" s="43" t="str">
        <f ca="1">IF(ROWS($1:12)&gt;COUNT(Dong),"",IF(OFFSET(TH!L$1,SMALL(Dong,ROWS($1:12)),)="331",OFFSET(TH!M$1,SMALL(Dong,ROWS($1:12)),),OFFSET(TH!L$1,SMALL(Dong,ROWS($1:12)),)))</f>
        <v>1111</v>
      </c>
      <c r="F25" s="43"/>
      <c r="G25" s="55">
        <f ca="1">IF(ROWS($1:12)&gt;COUNT(Dong),"",IF(OFFSET(TH!L$1,SMALL(Dong,ROWS($1:12)),)="331",OFFSET(TH!K$1,SMALL(Dong,ROWS($1:12)),),0))</f>
        <v>15629086</v>
      </c>
      <c r="H25" s="55">
        <f ca="1">IF(ROWS($1:12)&gt;COUNT(Dong),"",IF(OFFSET(TH!M$1,SMALL(Dong,ROWS($1:12)),)="331",OFFSET(TH!K$1,SMALL(Dong,ROWS($1:12)),),0))</f>
        <v>0</v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>
        <f ca="1">IF(ROWS($1:13)&gt;COUNT(Dong),"",OFFSET(TH!C$1,SMALL(Dong,ROWS($1:13)),))</f>
        <v>41160</v>
      </c>
      <c r="B26" s="9" t="str">
        <f ca="1">IF(ROWS($1:13)&gt;COUNT(Dong),"",OFFSET(TH!D$1,SMALL(Dong,ROWS($1:13)),))</f>
        <v>N04</v>
      </c>
      <c r="C26" s="9">
        <f ca="1">IF(ROWS($1:13)&gt;COUNT(Dong),"",OFFSET(TH!E$1,SMALL(Dong,ROWS($1:13)),))</f>
        <v>41160</v>
      </c>
      <c r="D26" s="213" t="str">
        <f ca="1">IF(ROWS($1:13)&gt;COUNT(Dong),"",OFFSET(TH!F$1,SMALL(Dong,ROWS($1:13)),))</f>
        <v>Giấy tấm 1N +2X (145x144)</v>
      </c>
      <c r="E26" s="43" t="str">
        <f ca="1">IF(ROWS($1:13)&gt;COUNT(Dong),"",IF(OFFSET(TH!L$1,SMALL(Dong,ROWS($1:13)),)="331",OFFSET(TH!M$1,SMALL(Dong,ROWS($1:13)),),OFFSET(TH!L$1,SMALL(Dong,ROWS($1:13)),)))</f>
        <v>156</v>
      </c>
      <c r="F26" s="43"/>
      <c r="G26" s="55">
        <f ca="1">IF(ROWS($1:13)&gt;COUNT(Dong),"",IF(OFFSET(TH!L$1,SMALL(Dong,ROWS($1:13)),)="331",OFFSET(TH!K$1,SMALL(Dong,ROWS($1:13)),),0))</f>
        <v>0</v>
      </c>
      <c r="H26" s="55">
        <f ca="1">IF(ROWS($1:13)&gt;COUNT(Dong),"",IF(OFFSET(TH!M$1,SMALL(Dong,ROWS($1:13)),)="331",OFFSET(TH!K$1,SMALL(Dong,ROWS($1:13)),),0))</f>
        <v>5133600</v>
      </c>
      <c r="I26" s="25">
        <f t="shared" ca="1" si="4"/>
        <v>0</v>
      </c>
      <c r="J26" s="25">
        <f t="shared" ca="1" si="5"/>
        <v>5133600</v>
      </c>
    </row>
    <row r="27" spans="1:10" s="18" customFormat="1" ht="18" customHeight="1">
      <c r="A27" s="9">
        <f ca="1">IF(ROWS($1:14)&gt;COUNT(Dong),"",OFFSET(TH!C$1,SMALL(Dong,ROWS($1:14)),))</f>
        <v>41160</v>
      </c>
      <c r="B27" s="9" t="str">
        <f ca="1">IF(ROWS($1:14)&gt;COUNT(Dong),"",OFFSET(TH!D$1,SMALL(Dong,ROWS($1:14)),))</f>
        <v>N04</v>
      </c>
      <c r="C27" s="9">
        <f ca="1">IF(ROWS($1:14)&gt;COUNT(Dong),"",OFFSET(TH!E$1,SMALL(Dong,ROWS($1:14)),))</f>
        <v>41160</v>
      </c>
      <c r="D27" s="213" t="str">
        <f ca="1">IF(ROWS($1:14)&gt;COUNT(Dong),"",OFFSET(TH!F$1,SMALL(Dong,ROWS($1:14)),))</f>
        <v xml:space="preserve">VAT Giấy tấm </v>
      </c>
      <c r="E27" s="43" t="str">
        <f ca="1">IF(ROWS($1:14)&gt;COUNT(Dong),"",IF(OFFSET(TH!L$1,SMALL(Dong,ROWS($1:14)),)="331",OFFSET(TH!M$1,SMALL(Dong,ROWS($1:14)),),OFFSET(TH!L$1,SMALL(Dong,ROWS($1:14)),)))</f>
        <v>1331</v>
      </c>
      <c r="F27" s="43"/>
      <c r="G27" s="55">
        <f ca="1">IF(ROWS($1:14)&gt;COUNT(Dong),"",IF(OFFSET(TH!L$1,SMALL(Dong,ROWS($1:14)),)="331",OFFSET(TH!K$1,SMALL(Dong,ROWS($1:14)),),0))</f>
        <v>0</v>
      </c>
      <c r="H27" s="55">
        <f ca="1">IF(ROWS($1:14)&gt;COUNT(Dong),"",IF(OFFSET(TH!M$1,SMALL(Dong,ROWS($1:14)),)="331",OFFSET(TH!K$1,SMALL(Dong,ROWS($1:14)),),0))</f>
        <v>513360</v>
      </c>
      <c r="I27" s="25">
        <f t="shared" ca="1" si="4"/>
        <v>0</v>
      </c>
      <c r="J27" s="25">
        <f t="shared" ca="1" si="5"/>
        <v>5646960</v>
      </c>
    </row>
    <row r="28" spans="1:10" s="18" customFormat="1" ht="18" customHeight="1">
      <c r="A28" s="9">
        <f ca="1">IF(ROWS($1:15)&gt;COUNT(Dong),"",OFFSET(TH!C$1,SMALL(Dong,ROWS($1:15)),))</f>
        <v>41160</v>
      </c>
      <c r="B28" s="9" t="str">
        <f ca="1">IF(ROWS($1:15)&gt;COUNT(Dong),"",OFFSET(TH!D$1,SMALL(Dong,ROWS($1:15)),))</f>
        <v>C07</v>
      </c>
      <c r="C28" s="9">
        <f ca="1">IF(ROWS($1:15)&gt;COUNT(Dong),"",OFFSET(TH!E$1,SMALL(Dong,ROWS($1:15)),))</f>
        <v>41160</v>
      </c>
      <c r="D28" s="213" t="str">
        <f ca="1">IF(ROWS($1:15)&gt;COUNT(Dong),"",OFFSET(TH!F$1,SMALL(Dong,ROWS($1:15)),))</f>
        <v>Thanh toán tiền hàng</v>
      </c>
      <c r="E28" s="43" t="str">
        <f ca="1">IF(ROWS($1:15)&gt;COUNT(Dong),"",IF(OFFSET(TH!L$1,SMALL(Dong,ROWS($1:15)),)="331",OFFSET(TH!M$1,SMALL(Dong,ROWS($1:15)),),OFFSET(TH!L$1,SMALL(Dong,ROWS($1:15)),)))</f>
        <v>1111</v>
      </c>
      <c r="F28" s="43"/>
      <c r="G28" s="55">
        <f ca="1">IF(ROWS($1:15)&gt;COUNT(Dong),"",IF(OFFSET(TH!L$1,SMALL(Dong,ROWS($1:15)),)="331",OFFSET(TH!K$1,SMALL(Dong,ROWS($1:15)),),0))</f>
        <v>5646960</v>
      </c>
      <c r="H28" s="55">
        <f ca="1">IF(ROWS($1:15)&gt;COUNT(Dong),"",IF(OFFSET(TH!M$1,SMALL(Dong,ROWS($1:15)),)="331",OFFSET(TH!K$1,SMALL(Dong,ROWS($1:15)),),0))</f>
        <v>0</v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>
        <f ca="1">IF(ROWS($1:16)&gt;COUNT(Dong),"",OFFSET(TH!C$1,SMALL(Dong,ROWS($1:16)),))</f>
        <v>41172</v>
      </c>
      <c r="B29" s="9" t="str">
        <f ca="1">IF(ROWS($1:16)&gt;COUNT(Dong),"",OFFSET(TH!D$1,SMALL(Dong,ROWS($1:16)),))</f>
        <v>N05</v>
      </c>
      <c r="C29" s="9">
        <f ca="1">IF(ROWS($1:16)&gt;COUNT(Dong),"",OFFSET(TH!E$1,SMALL(Dong,ROWS($1:16)),))</f>
        <v>41172</v>
      </c>
      <c r="D29" s="213" t="str">
        <f ca="1">IF(ROWS($1:16)&gt;COUNT(Dong),"",OFFSET(TH!F$1,SMALL(Dong,ROWS($1:16)),))</f>
        <v>Giấy tấm 1N +2X (165x158)</v>
      </c>
      <c r="E29" s="43" t="str">
        <f ca="1">IF(ROWS($1:16)&gt;COUNT(Dong),"",IF(OFFSET(TH!L$1,SMALL(Dong,ROWS($1:16)),)="331",OFFSET(TH!M$1,SMALL(Dong,ROWS($1:16)),),OFFSET(TH!L$1,SMALL(Dong,ROWS($1:16)),)))</f>
        <v>156</v>
      </c>
      <c r="F29" s="43"/>
      <c r="G29" s="55">
        <f ca="1">IF(ROWS($1:16)&gt;COUNT(Dong),"",IF(OFFSET(TH!L$1,SMALL(Dong,ROWS($1:16)),)="331",OFFSET(TH!K$1,SMALL(Dong,ROWS($1:16)),),0))</f>
        <v>0</v>
      </c>
      <c r="H29" s="55">
        <f ca="1">IF(ROWS($1:16)&gt;COUNT(Dong),"",IF(OFFSET(TH!M$1,SMALL(Dong,ROWS($1:16)),)="331",OFFSET(TH!K$1,SMALL(Dong,ROWS($1:16)),),0))</f>
        <v>5143000</v>
      </c>
      <c r="I29" s="25">
        <f t="shared" ca="1" si="4"/>
        <v>0</v>
      </c>
      <c r="J29" s="25">
        <f t="shared" ca="1" si="5"/>
        <v>5143000</v>
      </c>
    </row>
    <row r="30" spans="1:10" s="18" customFormat="1" ht="18" customHeight="1">
      <c r="A30" s="9">
        <f ca="1">IF(ROWS($1:17)&gt;COUNT(Dong),"",OFFSET(TH!C$1,SMALL(Dong,ROWS($1:17)),))</f>
        <v>41172</v>
      </c>
      <c r="B30" s="9" t="str">
        <f ca="1">IF(ROWS($1:17)&gt;COUNT(Dong),"",OFFSET(TH!D$1,SMALL(Dong,ROWS($1:17)),))</f>
        <v>N05</v>
      </c>
      <c r="C30" s="9">
        <f ca="1">IF(ROWS($1:17)&gt;COUNT(Dong),"",OFFSET(TH!E$1,SMALL(Dong,ROWS($1:17)),))</f>
        <v>41172</v>
      </c>
      <c r="D30" s="213" t="str">
        <f ca="1">IF(ROWS($1:17)&gt;COUNT(Dong),"",OFFSET(TH!F$1,SMALL(Dong,ROWS($1:17)),))</f>
        <v xml:space="preserve">VAT Giấy tấm </v>
      </c>
      <c r="E30" s="43" t="str">
        <f ca="1">IF(ROWS($1:17)&gt;COUNT(Dong),"",IF(OFFSET(TH!L$1,SMALL(Dong,ROWS($1:17)),)="331",OFFSET(TH!M$1,SMALL(Dong,ROWS($1:17)),),OFFSET(TH!L$1,SMALL(Dong,ROWS($1:17)),)))</f>
        <v>1331</v>
      </c>
      <c r="F30" s="43"/>
      <c r="G30" s="55">
        <f ca="1">IF(ROWS($1:17)&gt;COUNT(Dong),"",IF(OFFSET(TH!L$1,SMALL(Dong,ROWS($1:17)),)="331",OFFSET(TH!K$1,SMALL(Dong,ROWS($1:17)),),0))</f>
        <v>0</v>
      </c>
      <c r="H30" s="55">
        <f ca="1">IF(ROWS($1:17)&gt;COUNT(Dong),"",IF(OFFSET(TH!M$1,SMALL(Dong,ROWS($1:17)),)="331",OFFSET(TH!K$1,SMALL(Dong,ROWS($1:17)),),0))</f>
        <v>514300</v>
      </c>
      <c r="I30" s="25">
        <f t="shared" ca="1" si="4"/>
        <v>0</v>
      </c>
      <c r="J30" s="25">
        <f t="shared" ca="1" si="5"/>
        <v>5657300</v>
      </c>
    </row>
    <row r="31" spans="1:10" s="18" customFormat="1" ht="18" customHeight="1">
      <c r="A31" s="9">
        <f ca="1">IF(ROWS($1:18)&gt;COUNT(Dong),"",OFFSET(TH!C$1,SMALL(Dong,ROWS($1:18)),))</f>
        <v>41172</v>
      </c>
      <c r="B31" s="9" t="str">
        <f ca="1">IF(ROWS($1:18)&gt;COUNT(Dong),"",OFFSET(TH!D$1,SMALL(Dong,ROWS($1:18)),))</f>
        <v>C11</v>
      </c>
      <c r="C31" s="9">
        <f ca="1">IF(ROWS($1:18)&gt;COUNT(Dong),"",OFFSET(TH!E$1,SMALL(Dong,ROWS($1:18)),))</f>
        <v>41172</v>
      </c>
      <c r="D31" s="213" t="str">
        <f ca="1">IF(ROWS($1:18)&gt;COUNT(Dong),"",OFFSET(TH!F$1,SMALL(Dong,ROWS($1:18)),))</f>
        <v>Thanh toán tiền hàng</v>
      </c>
      <c r="E31" s="43" t="str">
        <f ca="1">IF(ROWS($1:18)&gt;COUNT(Dong),"",IF(OFFSET(TH!L$1,SMALL(Dong,ROWS($1:18)),)="331",OFFSET(TH!M$1,SMALL(Dong,ROWS($1:18)),),OFFSET(TH!L$1,SMALL(Dong,ROWS($1:18)),)))</f>
        <v>1111</v>
      </c>
      <c r="F31" s="43"/>
      <c r="G31" s="55">
        <f ca="1">IF(ROWS($1:18)&gt;COUNT(Dong),"",IF(OFFSET(TH!L$1,SMALL(Dong,ROWS($1:18)),)="331",OFFSET(TH!K$1,SMALL(Dong,ROWS($1:18)),),0))</f>
        <v>5657300</v>
      </c>
      <c r="H31" s="55">
        <f ca="1">IF(ROWS($1:18)&gt;COUNT(Dong),"",IF(OFFSET(TH!M$1,SMALL(Dong,ROWS($1:18)),)="331",OFFSET(TH!K$1,SMALL(Dong,ROWS($1:18)),),0))</f>
        <v>0</v>
      </c>
      <c r="I31" s="25">
        <f t="shared" ca="1" si="4"/>
        <v>0</v>
      </c>
      <c r="J31" s="25">
        <f t="shared" ca="1" si="5"/>
        <v>0</v>
      </c>
    </row>
    <row r="32" spans="1:10" s="18" customFormat="1" ht="18" customHeight="1">
      <c r="A32" s="9">
        <f ca="1">IF(ROWS($1:19)&gt;COUNT(Dong),"",OFFSET(TH!C$1,SMALL(Dong,ROWS($1:19)),))</f>
        <v>41195</v>
      </c>
      <c r="B32" s="9" t="str">
        <f ca="1">IF(ROWS($1:19)&gt;COUNT(Dong),"",OFFSET(TH!D$1,SMALL(Dong,ROWS($1:19)),))</f>
        <v>N01</v>
      </c>
      <c r="C32" s="9">
        <f ca="1">IF(ROWS($1:19)&gt;COUNT(Dong),"",OFFSET(TH!E$1,SMALL(Dong,ROWS($1:19)),))</f>
        <v>41195</v>
      </c>
      <c r="D32" s="213" t="str">
        <f ca="1">IF(ROWS($1:19)&gt;COUNT(Dong),"",OFFSET(TH!F$1,SMALL(Dong,ROWS($1:19)),))</f>
        <v>Giấy tấm 2N +1X (110x173)</v>
      </c>
      <c r="E32" s="43" t="str">
        <f ca="1">IF(ROWS($1:19)&gt;COUNT(Dong),"",IF(OFFSET(TH!L$1,SMALL(Dong,ROWS($1:19)),)="331",OFFSET(TH!M$1,SMALL(Dong,ROWS($1:19)),),OFFSET(TH!L$1,SMALL(Dong,ROWS($1:19)),)))</f>
        <v>156</v>
      </c>
      <c r="F32" s="43"/>
      <c r="G32" s="55">
        <f ca="1">IF(ROWS($1:19)&gt;COUNT(Dong),"",IF(OFFSET(TH!L$1,SMALL(Dong,ROWS($1:19)),)="331",OFFSET(TH!K$1,SMALL(Dong,ROWS($1:19)),),0))</f>
        <v>0</v>
      </c>
      <c r="H32" s="55">
        <f ca="1">IF(ROWS($1:19)&gt;COUNT(Dong),"",IF(OFFSET(TH!M$1,SMALL(Dong,ROWS($1:19)),)="331",OFFSET(TH!K$1,SMALL(Dong,ROWS($1:19)),),0))</f>
        <v>6375000</v>
      </c>
      <c r="I32" s="25">
        <f t="shared" ca="1" si="4"/>
        <v>0</v>
      </c>
      <c r="J32" s="25">
        <f t="shared" ca="1" si="5"/>
        <v>6375000</v>
      </c>
    </row>
    <row r="33" spans="1:10" s="18" customFormat="1" ht="18" customHeight="1">
      <c r="A33" s="9">
        <f ca="1">IF(ROWS($1:20)&gt;COUNT(Dong),"",OFFSET(TH!C$1,SMALL(Dong,ROWS($1:20)),))</f>
        <v>41195</v>
      </c>
      <c r="B33" s="9" t="str">
        <f ca="1">IF(ROWS($1:20)&gt;COUNT(Dong),"",OFFSET(TH!D$1,SMALL(Dong,ROWS($1:20)),))</f>
        <v>N01</v>
      </c>
      <c r="C33" s="9">
        <f ca="1">IF(ROWS($1:20)&gt;COUNT(Dong),"",OFFSET(TH!E$1,SMALL(Dong,ROWS($1:20)),))</f>
        <v>41195</v>
      </c>
      <c r="D33" s="213" t="str">
        <f ca="1">IF(ROWS($1:20)&gt;COUNT(Dong),"",OFFSET(TH!F$1,SMALL(Dong,ROWS($1:20)),))</f>
        <v xml:space="preserve">VAT Giấy tấm </v>
      </c>
      <c r="E33" s="43" t="str">
        <f ca="1">IF(ROWS($1:20)&gt;COUNT(Dong),"",IF(OFFSET(TH!L$1,SMALL(Dong,ROWS($1:20)),)="331",OFFSET(TH!M$1,SMALL(Dong,ROWS($1:20)),),OFFSET(TH!L$1,SMALL(Dong,ROWS($1:20)),)))</f>
        <v>1331</v>
      </c>
      <c r="F33" s="43"/>
      <c r="G33" s="55">
        <f ca="1">IF(ROWS($1:20)&gt;COUNT(Dong),"",IF(OFFSET(TH!L$1,SMALL(Dong,ROWS($1:20)),)="331",OFFSET(TH!K$1,SMALL(Dong,ROWS($1:20)),),0))</f>
        <v>0</v>
      </c>
      <c r="H33" s="55">
        <f ca="1">IF(ROWS($1:20)&gt;COUNT(Dong),"",IF(OFFSET(TH!M$1,SMALL(Dong,ROWS($1:20)),)="331",OFFSET(TH!K$1,SMALL(Dong,ROWS($1:20)),),0))</f>
        <v>637500</v>
      </c>
      <c r="I33" s="25">
        <f t="shared" ca="1" si="4"/>
        <v>0</v>
      </c>
      <c r="J33" s="25">
        <f t="shared" ca="1" si="5"/>
        <v>7012500</v>
      </c>
    </row>
    <row r="34" spans="1:10" s="18" customFormat="1" ht="18" customHeight="1">
      <c r="A34" s="9">
        <f ca="1">IF(ROWS($1:21)&gt;COUNT(Dong),"",OFFSET(TH!C$1,SMALL(Dong,ROWS($1:21)),))</f>
        <v>41195</v>
      </c>
      <c r="B34" s="9" t="str">
        <f ca="1">IF(ROWS($1:21)&gt;COUNT(Dong),"",OFFSET(TH!D$1,SMALL(Dong,ROWS($1:21)),))</f>
        <v>C01</v>
      </c>
      <c r="C34" s="9">
        <f ca="1">IF(ROWS($1:21)&gt;COUNT(Dong),"",OFFSET(TH!E$1,SMALL(Dong,ROWS($1:21)),))</f>
        <v>41195</v>
      </c>
      <c r="D34" s="213" t="str">
        <f ca="1">IF(ROWS($1:21)&gt;COUNT(Dong),"",OFFSET(TH!F$1,SMALL(Dong,ROWS($1:21)),))</f>
        <v>Thanh toán tiền hàng</v>
      </c>
      <c r="E34" s="43" t="str">
        <f ca="1">IF(ROWS($1:21)&gt;COUNT(Dong),"",IF(OFFSET(TH!L$1,SMALL(Dong,ROWS($1:21)),)="331",OFFSET(TH!M$1,SMALL(Dong,ROWS($1:21)),),OFFSET(TH!L$1,SMALL(Dong,ROWS($1:21)),)))</f>
        <v>1111</v>
      </c>
      <c r="F34" s="43"/>
      <c r="G34" s="55">
        <f ca="1">IF(ROWS($1:21)&gt;COUNT(Dong),"",IF(OFFSET(TH!L$1,SMALL(Dong,ROWS($1:21)),)="331",OFFSET(TH!K$1,SMALL(Dong,ROWS($1:21)),),0))</f>
        <v>7012500</v>
      </c>
      <c r="H34" s="55">
        <f ca="1">IF(ROWS($1:21)&gt;COUNT(Dong),"",IF(OFFSET(TH!M$1,SMALL(Dong,ROWS($1:21)),)="331",OFFSET(TH!K$1,SMALL(Dong,ROWS($1:21)),),0))</f>
        <v>0</v>
      </c>
      <c r="I34" s="25">
        <f t="shared" ca="1" si="4"/>
        <v>0</v>
      </c>
      <c r="J34" s="25">
        <f t="shared" ca="1" si="5"/>
        <v>0</v>
      </c>
    </row>
    <row r="35" spans="1:10" s="18" customFormat="1" ht="18" customHeight="1">
      <c r="A35" s="9">
        <f ca="1">IF(ROWS($1:22)&gt;COUNT(Dong),"",OFFSET(TH!C$1,SMALL(Dong,ROWS($1:22)),))</f>
        <v>41201</v>
      </c>
      <c r="B35" s="9" t="str">
        <f ca="1">IF(ROWS($1:22)&gt;COUNT(Dong),"",OFFSET(TH!D$1,SMALL(Dong,ROWS($1:22)),))</f>
        <v>N02</v>
      </c>
      <c r="C35" s="9">
        <f ca="1">IF(ROWS($1:22)&gt;COUNT(Dong),"",OFFSET(TH!E$1,SMALL(Dong,ROWS($1:22)),))</f>
        <v>41201</v>
      </c>
      <c r="D35" s="213" t="str">
        <f ca="1">IF(ROWS($1:22)&gt;COUNT(Dong),"",OFFSET(TH!F$1,SMALL(Dong,ROWS($1:22)),))</f>
        <v>Giấy tấm 1N +2X (115x163)</v>
      </c>
      <c r="E35" s="43" t="str">
        <f ca="1">IF(ROWS($1:22)&gt;COUNT(Dong),"",IF(OFFSET(TH!L$1,SMALL(Dong,ROWS($1:22)),)="331",OFFSET(TH!M$1,SMALL(Dong,ROWS($1:22)),),OFFSET(TH!L$1,SMALL(Dong,ROWS($1:22)),)))</f>
        <v>156</v>
      </c>
      <c r="F35" s="43"/>
      <c r="G35" s="55">
        <f ca="1">IF(ROWS($1:22)&gt;COUNT(Dong),"",IF(OFFSET(TH!L$1,SMALL(Dong,ROWS($1:22)),)="331",OFFSET(TH!K$1,SMALL(Dong,ROWS($1:22)),),0))</f>
        <v>0</v>
      </c>
      <c r="H35" s="55">
        <f ca="1">IF(ROWS($1:22)&gt;COUNT(Dong),"",IF(OFFSET(TH!M$1,SMALL(Dong,ROWS($1:22)),)="331",OFFSET(TH!K$1,SMALL(Dong,ROWS($1:22)),),0))</f>
        <v>5811000</v>
      </c>
      <c r="I35" s="25">
        <f t="shared" ca="1" si="4"/>
        <v>0</v>
      </c>
      <c r="J35" s="25">
        <f t="shared" ca="1" si="5"/>
        <v>5811000</v>
      </c>
    </row>
    <row r="36" spans="1:10" s="18" customFormat="1" ht="18" customHeight="1">
      <c r="A36" s="9">
        <f ca="1">IF(ROWS($1:23)&gt;COUNT(Dong),"",OFFSET(TH!C$1,SMALL(Dong,ROWS($1:23)),))</f>
        <v>41201</v>
      </c>
      <c r="B36" s="9" t="str">
        <f ca="1">IF(ROWS($1:23)&gt;COUNT(Dong),"",OFFSET(TH!D$1,SMALL(Dong,ROWS($1:23)),))</f>
        <v>N02</v>
      </c>
      <c r="C36" s="9">
        <f ca="1">IF(ROWS($1:23)&gt;COUNT(Dong),"",OFFSET(TH!E$1,SMALL(Dong,ROWS($1:23)),))</f>
        <v>41201</v>
      </c>
      <c r="D36" s="213" t="str">
        <f ca="1">IF(ROWS($1:23)&gt;COUNT(Dong),"",OFFSET(TH!F$1,SMALL(Dong,ROWS($1:23)),))</f>
        <v>Giấy tấm 1N +2X (150x92)</v>
      </c>
      <c r="E36" s="43" t="str">
        <f ca="1">IF(ROWS($1:23)&gt;COUNT(Dong),"",IF(OFFSET(TH!L$1,SMALL(Dong,ROWS($1:23)),)="331",OFFSET(TH!M$1,SMALL(Dong,ROWS($1:23)),),OFFSET(TH!L$1,SMALL(Dong,ROWS($1:23)),)))</f>
        <v>156</v>
      </c>
      <c r="F36" s="43"/>
      <c r="G36" s="55">
        <f ca="1">IF(ROWS($1:23)&gt;COUNT(Dong),"",IF(OFFSET(TH!L$1,SMALL(Dong,ROWS($1:23)),)="331",OFFSET(TH!K$1,SMALL(Dong,ROWS($1:23)),),0))</f>
        <v>0</v>
      </c>
      <c r="H36" s="55">
        <f ca="1">IF(ROWS($1:23)&gt;COUNT(Dong),"",IF(OFFSET(TH!M$1,SMALL(Dong,ROWS($1:23)),)="331",OFFSET(TH!K$1,SMALL(Dong,ROWS($1:23)),),0))</f>
        <v>4278000</v>
      </c>
      <c r="I36" s="25">
        <f t="shared" ca="1" si="4"/>
        <v>0</v>
      </c>
      <c r="J36" s="25">
        <f t="shared" ca="1" si="5"/>
        <v>10089000</v>
      </c>
    </row>
    <row r="37" spans="1:10" s="18" customFormat="1" ht="18" customHeight="1">
      <c r="A37" s="9">
        <f ca="1">IF(ROWS($1:24)&gt;COUNT(Dong),"",OFFSET(TH!C$1,SMALL(Dong,ROWS($1:24)),))</f>
        <v>41201</v>
      </c>
      <c r="B37" s="9" t="str">
        <f ca="1">IF(ROWS($1:24)&gt;COUNT(Dong),"",OFFSET(TH!D$1,SMALL(Dong,ROWS($1:24)),))</f>
        <v>N02</v>
      </c>
      <c r="C37" s="9">
        <f ca="1">IF(ROWS($1:24)&gt;COUNT(Dong),"",OFFSET(TH!E$1,SMALL(Dong,ROWS($1:24)),))</f>
        <v>41201</v>
      </c>
      <c r="D37" s="213" t="str">
        <f ca="1">IF(ROWS($1:24)&gt;COUNT(Dong),"",OFFSET(TH!F$1,SMALL(Dong,ROWS($1:24)),))</f>
        <v xml:space="preserve">VAT Giấy tấm </v>
      </c>
      <c r="E37" s="43" t="str">
        <f ca="1">IF(ROWS($1:24)&gt;COUNT(Dong),"",IF(OFFSET(TH!L$1,SMALL(Dong,ROWS($1:24)),)="331",OFFSET(TH!M$1,SMALL(Dong,ROWS($1:24)),),OFFSET(TH!L$1,SMALL(Dong,ROWS($1:24)),)))</f>
        <v>1331</v>
      </c>
      <c r="F37" s="43"/>
      <c r="G37" s="55">
        <f ca="1">IF(ROWS($1:24)&gt;COUNT(Dong),"",IF(OFFSET(TH!L$1,SMALL(Dong,ROWS($1:24)),)="331",OFFSET(TH!K$1,SMALL(Dong,ROWS($1:24)),),0))</f>
        <v>0</v>
      </c>
      <c r="H37" s="55">
        <f ca="1">IF(ROWS($1:24)&gt;COUNT(Dong),"",IF(OFFSET(TH!M$1,SMALL(Dong,ROWS($1:24)),)="331",OFFSET(TH!K$1,SMALL(Dong,ROWS($1:24)),),0))</f>
        <v>1008900</v>
      </c>
      <c r="I37" s="25">
        <f t="shared" ref="I37:I49" ca="1" si="6">IF(D37&lt;&gt;"",MAX(I36+G37-H37-J36,0),0)</f>
        <v>0</v>
      </c>
      <c r="J37" s="25">
        <f t="shared" ref="J37:J49" ca="1" si="7">IF(D37&lt;&gt;"",MAX(J36+H37-I36-G37,0),0)</f>
        <v>11097900</v>
      </c>
    </row>
    <row r="38" spans="1:10" s="18" customFormat="1" ht="18" customHeight="1">
      <c r="A38" s="9">
        <f ca="1">IF(ROWS($1:25)&gt;COUNT(Dong),"",OFFSET(TH!C$1,SMALL(Dong,ROWS($1:25)),))</f>
        <v>41201</v>
      </c>
      <c r="B38" s="9" t="str">
        <f ca="1">IF(ROWS($1:25)&gt;COUNT(Dong),"",OFFSET(TH!D$1,SMALL(Dong,ROWS($1:25)),))</f>
        <v>C04</v>
      </c>
      <c r="C38" s="9">
        <f ca="1">IF(ROWS($1:25)&gt;COUNT(Dong),"",OFFSET(TH!E$1,SMALL(Dong,ROWS($1:25)),))</f>
        <v>41201</v>
      </c>
      <c r="D38" s="213" t="str">
        <f ca="1">IF(ROWS($1:25)&gt;COUNT(Dong),"",OFFSET(TH!F$1,SMALL(Dong,ROWS($1:25)),))</f>
        <v>Thanh toán tiền hàng</v>
      </c>
      <c r="E38" s="43" t="str">
        <f ca="1">IF(ROWS($1:25)&gt;COUNT(Dong),"",IF(OFFSET(TH!L$1,SMALL(Dong,ROWS($1:25)),)="331",OFFSET(TH!M$1,SMALL(Dong,ROWS($1:25)),),OFFSET(TH!L$1,SMALL(Dong,ROWS($1:25)),)))</f>
        <v>1111</v>
      </c>
      <c r="F38" s="43"/>
      <c r="G38" s="55">
        <f ca="1">IF(ROWS($1:25)&gt;COUNT(Dong),"",IF(OFFSET(TH!L$1,SMALL(Dong,ROWS($1:25)),)="331",OFFSET(TH!K$1,SMALL(Dong,ROWS($1:25)),),0))</f>
        <v>11097900</v>
      </c>
      <c r="H38" s="55">
        <f ca="1">IF(ROWS($1:25)&gt;COUNT(Dong),"",IF(OFFSET(TH!M$1,SMALL(Dong,ROWS($1:25)),)="331",OFFSET(TH!K$1,SMALL(Dong,ROWS($1:25)),),0))</f>
        <v>0</v>
      </c>
      <c r="I38" s="25">
        <f t="shared" ca="1" si="6"/>
        <v>0</v>
      </c>
      <c r="J38" s="25">
        <f t="shared" ca="1" si="7"/>
        <v>0</v>
      </c>
    </row>
    <row r="39" spans="1:10" s="18" customFormat="1" ht="18" customHeight="1">
      <c r="A39" s="9">
        <f ca="1">IF(ROWS($1:26)&gt;COUNT(Dong),"",OFFSET(TH!C$1,SMALL(Dong,ROWS($1:26)),))</f>
        <v>41207</v>
      </c>
      <c r="B39" s="9" t="str">
        <f ca="1">IF(ROWS($1:26)&gt;COUNT(Dong),"",OFFSET(TH!D$1,SMALL(Dong,ROWS($1:26)),))</f>
        <v>N03</v>
      </c>
      <c r="C39" s="9">
        <f ca="1">IF(ROWS($1:26)&gt;COUNT(Dong),"",OFFSET(TH!E$1,SMALL(Dong,ROWS($1:26)),))</f>
        <v>41207</v>
      </c>
      <c r="D39" s="213" t="str">
        <f ca="1">IF(ROWS($1:26)&gt;COUNT(Dong),"",OFFSET(TH!F$1,SMALL(Dong,ROWS($1:26)),))</f>
        <v>Giấy tấm 1N +2X (105x158)</v>
      </c>
      <c r="E39" s="43" t="str">
        <f ca="1">IF(ROWS($1:26)&gt;COUNT(Dong),"",IF(OFFSET(TH!L$1,SMALL(Dong,ROWS($1:26)),)="331",OFFSET(TH!M$1,SMALL(Dong,ROWS($1:26)),),OFFSET(TH!L$1,SMALL(Dong,ROWS($1:26)),)))</f>
        <v>156</v>
      </c>
      <c r="F39" s="43"/>
      <c r="G39" s="55">
        <f ca="1">IF(ROWS($1:26)&gt;COUNT(Dong),"",IF(OFFSET(TH!L$1,SMALL(Dong,ROWS($1:26)),)="331",OFFSET(TH!K$1,SMALL(Dong,ROWS($1:26)),),0))</f>
        <v>0</v>
      </c>
      <c r="H39" s="55">
        <f ca="1">IF(ROWS($1:26)&gt;COUNT(Dong),"",IF(OFFSET(TH!M$1,SMALL(Dong,ROWS($1:26)),)="331",OFFSET(TH!K$1,SMALL(Dong,ROWS($1:26)),),0))</f>
        <v>5143000</v>
      </c>
      <c r="I39" s="25">
        <f t="shared" ca="1" si="6"/>
        <v>0</v>
      </c>
      <c r="J39" s="25">
        <f t="shared" ca="1" si="7"/>
        <v>5143000</v>
      </c>
    </row>
    <row r="40" spans="1:10" s="18" customFormat="1" ht="18" customHeight="1">
      <c r="A40" s="9">
        <f ca="1">IF(ROWS($1:27)&gt;COUNT(Dong),"",OFFSET(TH!C$1,SMALL(Dong,ROWS($1:27)),))</f>
        <v>41207</v>
      </c>
      <c r="B40" s="9" t="str">
        <f ca="1">IF(ROWS($1:27)&gt;COUNT(Dong),"",OFFSET(TH!D$1,SMALL(Dong,ROWS($1:27)),))</f>
        <v>N03</v>
      </c>
      <c r="C40" s="9">
        <f ca="1">IF(ROWS($1:27)&gt;COUNT(Dong),"",OFFSET(TH!E$1,SMALL(Dong,ROWS($1:27)),))</f>
        <v>41207</v>
      </c>
      <c r="D40" s="213" t="str">
        <f ca="1">IF(ROWS($1:27)&gt;COUNT(Dong),"",OFFSET(TH!F$1,SMALL(Dong,ROWS($1:27)),))</f>
        <v>Giấy tấm 1N +2X (120x175)</v>
      </c>
      <c r="E40" s="43" t="str">
        <f ca="1">IF(ROWS($1:27)&gt;COUNT(Dong),"",IF(OFFSET(TH!L$1,SMALL(Dong,ROWS($1:27)),)="331",OFFSET(TH!M$1,SMALL(Dong,ROWS($1:27)),),OFFSET(TH!L$1,SMALL(Dong,ROWS($1:27)),)))</f>
        <v>156</v>
      </c>
      <c r="F40" s="43"/>
      <c r="G40" s="55">
        <f ca="1">IF(ROWS($1:27)&gt;COUNT(Dong),"",IF(OFFSET(TH!L$1,SMALL(Dong,ROWS($1:27)),)="331",OFFSET(TH!K$1,SMALL(Dong,ROWS($1:27)),),0))</f>
        <v>0</v>
      </c>
      <c r="H40" s="55">
        <f ca="1">IF(ROWS($1:27)&gt;COUNT(Dong),"",IF(OFFSET(TH!M$1,SMALL(Dong,ROWS($1:27)),)="331",OFFSET(TH!K$1,SMALL(Dong,ROWS($1:27)),),0))</f>
        <v>6510000</v>
      </c>
      <c r="I40" s="25">
        <f t="shared" ca="1" si="6"/>
        <v>0</v>
      </c>
      <c r="J40" s="25">
        <f t="shared" ca="1" si="7"/>
        <v>11653000</v>
      </c>
    </row>
    <row r="41" spans="1:10" s="18" customFormat="1" ht="18" customHeight="1">
      <c r="A41" s="9">
        <f ca="1">IF(ROWS($1:28)&gt;COUNT(Dong),"",OFFSET(TH!C$1,SMALL(Dong,ROWS($1:28)),))</f>
        <v>41207</v>
      </c>
      <c r="B41" s="9" t="str">
        <f ca="1">IF(ROWS($1:28)&gt;COUNT(Dong),"",OFFSET(TH!D$1,SMALL(Dong,ROWS($1:28)),))</f>
        <v>N03</v>
      </c>
      <c r="C41" s="9">
        <f ca="1">IF(ROWS($1:28)&gt;COUNT(Dong),"",OFFSET(TH!E$1,SMALL(Dong,ROWS($1:28)),))</f>
        <v>41207</v>
      </c>
      <c r="D41" s="213" t="str">
        <f ca="1">IF(ROWS($1:28)&gt;COUNT(Dong),"",OFFSET(TH!F$1,SMALL(Dong,ROWS($1:28)),))</f>
        <v xml:space="preserve">VAT Giấy tấm </v>
      </c>
      <c r="E41" s="43" t="str">
        <f ca="1">IF(ROWS($1:28)&gt;COUNT(Dong),"",IF(OFFSET(TH!L$1,SMALL(Dong,ROWS($1:28)),)="331",OFFSET(TH!M$1,SMALL(Dong,ROWS($1:28)),),OFFSET(TH!L$1,SMALL(Dong,ROWS($1:28)),)))</f>
        <v>1331</v>
      </c>
      <c r="F41" s="43"/>
      <c r="G41" s="55">
        <f ca="1">IF(ROWS($1:28)&gt;COUNT(Dong),"",IF(OFFSET(TH!L$1,SMALL(Dong,ROWS($1:28)),)="331",OFFSET(TH!K$1,SMALL(Dong,ROWS($1:28)),),0))</f>
        <v>0</v>
      </c>
      <c r="H41" s="55">
        <f ca="1">IF(ROWS($1:28)&gt;COUNT(Dong),"",IF(OFFSET(TH!M$1,SMALL(Dong,ROWS($1:28)),)="331",OFFSET(TH!K$1,SMALL(Dong,ROWS($1:28)),),0))</f>
        <v>1165300</v>
      </c>
      <c r="I41" s="25">
        <f t="shared" ca="1" si="6"/>
        <v>0</v>
      </c>
      <c r="J41" s="25">
        <f t="shared" ca="1" si="7"/>
        <v>12818300</v>
      </c>
    </row>
    <row r="42" spans="1:10" s="18" customFormat="1" ht="18" customHeight="1">
      <c r="A42" s="9">
        <f ca="1">IF(ROWS($1:29)&gt;COUNT(Dong),"",OFFSET(TH!C$1,SMALL(Dong,ROWS($1:29)),))</f>
        <v>41207</v>
      </c>
      <c r="B42" s="9" t="str">
        <f ca="1">IF(ROWS($1:29)&gt;COUNT(Dong),"",OFFSET(TH!D$1,SMALL(Dong,ROWS($1:29)),))</f>
        <v>C06</v>
      </c>
      <c r="C42" s="9">
        <f ca="1">IF(ROWS($1:29)&gt;COUNT(Dong),"",OFFSET(TH!E$1,SMALL(Dong,ROWS($1:29)),))</f>
        <v>41207</v>
      </c>
      <c r="D42" s="213" t="str">
        <f ca="1">IF(ROWS($1:29)&gt;COUNT(Dong),"",OFFSET(TH!F$1,SMALL(Dong,ROWS($1:29)),))</f>
        <v>Thanh toán tiền hàng</v>
      </c>
      <c r="E42" s="43" t="str">
        <f ca="1">IF(ROWS($1:29)&gt;COUNT(Dong),"",IF(OFFSET(TH!L$1,SMALL(Dong,ROWS($1:29)),)="331",OFFSET(TH!M$1,SMALL(Dong,ROWS($1:29)),),OFFSET(TH!L$1,SMALL(Dong,ROWS($1:29)),)))</f>
        <v>1111</v>
      </c>
      <c r="F42" s="43"/>
      <c r="G42" s="55">
        <f ca="1">IF(ROWS($1:29)&gt;COUNT(Dong),"",IF(OFFSET(TH!L$1,SMALL(Dong,ROWS($1:29)),)="331",OFFSET(TH!K$1,SMALL(Dong,ROWS($1:29)),),0))</f>
        <v>12818300</v>
      </c>
      <c r="H42" s="55">
        <f ca="1">IF(ROWS($1:29)&gt;COUNT(Dong),"",IF(OFFSET(TH!M$1,SMALL(Dong,ROWS($1:29)),)="331",OFFSET(TH!K$1,SMALL(Dong,ROWS($1:29)),),0))</f>
        <v>0</v>
      </c>
      <c r="I42" s="25">
        <f t="shared" ca="1" si="6"/>
        <v>0</v>
      </c>
      <c r="J42" s="25">
        <f t="shared" ca="1" si="7"/>
        <v>0</v>
      </c>
    </row>
    <row r="43" spans="1:10" s="18" customFormat="1" ht="18" customHeight="1">
      <c r="A43" s="9">
        <f ca="1">IF(ROWS($1:30)&gt;COUNT(Dong),"",OFFSET(TH!C$1,SMALL(Dong,ROWS($1:30)),))</f>
        <v>41208</v>
      </c>
      <c r="B43" s="9" t="str">
        <f ca="1">IF(ROWS($1:30)&gt;COUNT(Dong),"",OFFSET(TH!D$1,SMALL(Dong,ROWS($1:30)),))</f>
        <v>N04</v>
      </c>
      <c r="C43" s="9">
        <f ca="1">IF(ROWS($1:30)&gt;COUNT(Dong),"",OFFSET(TH!E$1,SMALL(Dong,ROWS($1:30)),))</f>
        <v>41208</v>
      </c>
      <c r="D43" s="213" t="str">
        <f ca="1">IF(ROWS($1:30)&gt;COUNT(Dong),"",OFFSET(TH!F$1,SMALL(Dong,ROWS($1:30)),))</f>
        <v>Giấy tấm 2N +1X (87x208)</v>
      </c>
      <c r="E43" s="43" t="str">
        <f ca="1">IF(ROWS($1:30)&gt;COUNT(Dong),"",IF(OFFSET(TH!L$1,SMALL(Dong,ROWS($1:30)),)="331",OFFSET(TH!M$1,SMALL(Dong,ROWS($1:30)),),OFFSET(TH!L$1,SMALL(Dong,ROWS($1:30)),)))</f>
        <v>156</v>
      </c>
      <c r="F43" s="43"/>
      <c r="G43" s="55">
        <f ca="1">IF(ROWS($1:30)&gt;COUNT(Dong),"",IF(OFFSET(TH!L$1,SMALL(Dong,ROWS($1:30)),)="331",OFFSET(TH!K$1,SMALL(Dong,ROWS($1:30)),),0))</f>
        <v>0</v>
      </c>
      <c r="H43" s="55">
        <f ca="1">IF(ROWS($1:30)&gt;COUNT(Dong),"",IF(OFFSET(TH!M$1,SMALL(Dong,ROWS($1:30)),)="331",OFFSET(TH!K$1,SMALL(Dong,ROWS($1:30)),),0))</f>
        <v>6122620</v>
      </c>
      <c r="I43" s="25">
        <f t="shared" ca="1" si="6"/>
        <v>0</v>
      </c>
      <c r="J43" s="25">
        <f t="shared" ca="1" si="7"/>
        <v>6122620</v>
      </c>
    </row>
    <row r="44" spans="1:10" s="18" customFormat="1" ht="18" customHeight="1">
      <c r="A44" s="9">
        <f ca="1">IF(ROWS($1:31)&gt;COUNT(Dong),"",OFFSET(TH!C$1,SMALL(Dong,ROWS($1:31)),))</f>
        <v>41208</v>
      </c>
      <c r="B44" s="9" t="str">
        <f ca="1">IF(ROWS($1:31)&gt;COUNT(Dong),"",OFFSET(TH!D$1,SMALL(Dong,ROWS($1:31)),))</f>
        <v>N04</v>
      </c>
      <c r="C44" s="9">
        <f ca="1">IF(ROWS($1:31)&gt;COUNT(Dong),"",OFFSET(TH!E$1,SMALL(Dong,ROWS($1:31)),))</f>
        <v>41208</v>
      </c>
      <c r="D44" s="213" t="str">
        <f ca="1">IF(ROWS($1:31)&gt;COUNT(Dong),"",OFFSET(TH!F$1,SMALL(Dong,ROWS($1:31)),))</f>
        <v xml:space="preserve">VAT Giấy tấm </v>
      </c>
      <c r="E44" s="43" t="str">
        <f ca="1">IF(ROWS($1:31)&gt;COUNT(Dong),"",IF(OFFSET(TH!L$1,SMALL(Dong,ROWS($1:31)),)="331",OFFSET(TH!M$1,SMALL(Dong,ROWS($1:31)),),OFFSET(TH!L$1,SMALL(Dong,ROWS($1:31)),)))</f>
        <v>1331</v>
      </c>
      <c r="F44" s="43"/>
      <c r="G44" s="55">
        <f ca="1">IF(ROWS($1:31)&gt;COUNT(Dong),"",IF(OFFSET(TH!L$1,SMALL(Dong,ROWS($1:31)),)="331",OFFSET(TH!K$1,SMALL(Dong,ROWS($1:31)),),0))</f>
        <v>0</v>
      </c>
      <c r="H44" s="55">
        <f ca="1">IF(ROWS($1:31)&gt;COUNT(Dong),"",IF(OFFSET(TH!M$1,SMALL(Dong,ROWS($1:31)),)="331",OFFSET(TH!K$1,SMALL(Dong,ROWS($1:31)),),0))</f>
        <v>612262</v>
      </c>
      <c r="I44" s="25">
        <f t="shared" ca="1" si="6"/>
        <v>0</v>
      </c>
      <c r="J44" s="25">
        <f t="shared" ca="1" si="7"/>
        <v>6734882</v>
      </c>
    </row>
    <row r="45" spans="1:10" s="18" customFormat="1" ht="18" customHeight="1">
      <c r="A45" s="9">
        <f ca="1">IF(ROWS($1:32)&gt;COUNT(Dong),"",OFFSET(TH!C$1,SMALL(Dong,ROWS($1:32)),))</f>
        <v>41208</v>
      </c>
      <c r="B45" s="9" t="str">
        <f ca="1">IF(ROWS($1:32)&gt;COUNT(Dong),"",OFFSET(TH!D$1,SMALL(Dong,ROWS($1:32)),))</f>
        <v>C07</v>
      </c>
      <c r="C45" s="9">
        <f ca="1">IF(ROWS($1:32)&gt;COUNT(Dong),"",OFFSET(TH!E$1,SMALL(Dong,ROWS($1:32)),))</f>
        <v>41208</v>
      </c>
      <c r="D45" s="213" t="str">
        <f ca="1">IF(ROWS($1:32)&gt;COUNT(Dong),"",OFFSET(TH!F$1,SMALL(Dong,ROWS($1:32)),))</f>
        <v>Thanh toán tiền hàng</v>
      </c>
      <c r="E45" s="43" t="str">
        <f ca="1">IF(ROWS($1:32)&gt;COUNT(Dong),"",IF(OFFSET(TH!L$1,SMALL(Dong,ROWS($1:32)),)="331",OFFSET(TH!M$1,SMALL(Dong,ROWS($1:32)),),OFFSET(TH!L$1,SMALL(Dong,ROWS($1:32)),)))</f>
        <v>1111</v>
      </c>
      <c r="F45" s="43"/>
      <c r="G45" s="55">
        <f ca="1">IF(ROWS($1:32)&gt;COUNT(Dong),"",IF(OFFSET(TH!L$1,SMALL(Dong,ROWS($1:32)),)="331",OFFSET(TH!K$1,SMALL(Dong,ROWS($1:32)),),0))</f>
        <v>6734882</v>
      </c>
      <c r="H45" s="55">
        <f ca="1">IF(ROWS($1:32)&gt;COUNT(Dong),"",IF(OFFSET(TH!M$1,SMALL(Dong,ROWS($1:32)),)="331",OFFSET(TH!K$1,SMALL(Dong,ROWS($1:32)),),0))</f>
        <v>0</v>
      </c>
      <c r="I45" s="25">
        <f t="shared" ca="1" si="6"/>
        <v>0</v>
      </c>
      <c r="J45" s="25">
        <f t="shared" ca="1" si="7"/>
        <v>0</v>
      </c>
    </row>
    <row r="46" spans="1:10" s="18" customFormat="1" ht="18" customHeight="1">
      <c r="A46" s="9">
        <f ca="1">IF(ROWS($1:33)&gt;COUNT(Dong),"",OFFSET(TH!C$1,SMALL(Dong,ROWS($1:33)),))</f>
        <v>41215</v>
      </c>
      <c r="B46" s="9" t="str">
        <f ca="1">IF(ROWS($1:33)&gt;COUNT(Dong),"",OFFSET(TH!D$1,SMALL(Dong,ROWS($1:33)),))</f>
        <v>N06</v>
      </c>
      <c r="C46" s="9">
        <f ca="1">IF(ROWS($1:33)&gt;COUNT(Dong),"",OFFSET(TH!E$1,SMALL(Dong,ROWS($1:33)),))</f>
        <v>41215</v>
      </c>
      <c r="D46" s="213" t="str">
        <f ca="1">IF(ROWS($1:33)&gt;COUNT(Dong),"",OFFSET(TH!F$1,SMALL(Dong,ROWS($1:33)),))</f>
        <v>Giấy tấm 2N +1X (110x173)</v>
      </c>
      <c r="E46" s="43" t="str">
        <f ca="1">IF(ROWS($1:33)&gt;COUNT(Dong),"",IF(OFFSET(TH!L$1,SMALL(Dong,ROWS($1:33)),)="331",OFFSET(TH!M$1,SMALL(Dong,ROWS($1:33)),),OFFSET(TH!L$1,SMALL(Dong,ROWS($1:33)),)))</f>
        <v>156</v>
      </c>
      <c r="F46" s="43"/>
      <c r="G46" s="55">
        <f ca="1">IF(ROWS($1:33)&gt;COUNT(Dong),"",IF(OFFSET(TH!L$1,SMALL(Dong,ROWS($1:33)),)="331",OFFSET(TH!K$1,SMALL(Dong,ROWS($1:33)),),0))</f>
        <v>0</v>
      </c>
      <c r="H46" s="55">
        <f ca="1">IF(ROWS($1:33)&gt;COUNT(Dong),"",IF(OFFSET(TH!M$1,SMALL(Dong,ROWS($1:33)),)="331",OFFSET(TH!K$1,SMALL(Dong,ROWS($1:33)),),0))</f>
        <v>12750000</v>
      </c>
      <c r="I46" s="25">
        <f t="shared" ca="1" si="6"/>
        <v>0</v>
      </c>
      <c r="J46" s="25">
        <f t="shared" ca="1" si="7"/>
        <v>12750000</v>
      </c>
    </row>
    <row r="47" spans="1:10" s="18" customFormat="1" ht="18" customHeight="1">
      <c r="A47" s="9">
        <f ca="1">IF(ROWS($1:34)&gt;COUNT(Dong),"",OFFSET(TH!C$1,SMALL(Dong,ROWS($1:34)),))</f>
        <v>41215</v>
      </c>
      <c r="B47" s="9" t="str">
        <f ca="1">IF(ROWS($1:34)&gt;COUNT(Dong),"",OFFSET(TH!D$1,SMALL(Dong,ROWS($1:34)),))</f>
        <v>N06</v>
      </c>
      <c r="C47" s="9">
        <f ca="1">IF(ROWS($1:34)&gt;COUNT(Dong),"",OFFSET(TH!E$1,SMALL(Dong,ROWS($1:34)),))</f>
        <v>41215</v>
      </c>
      <c r="D47" s="213" t="str">
        <f ca="1">IF(ROWS($1:34)&gt;COUNT(Dong),"",OFFSET(TH!F$1,SMALL(Dong,ROWS($1:34)),))</f>
        <v xml:space="preserve">VAT Giấy tấm </v>
      </c>
      <c r="E47" s="43" t="str">
        <f ca="1">IF(ROWS($1:34)&gt;COUNT(Dong),"",IF(OFFSET(TH!L$1,SMALL(Dong,ROWS($1:34)),)="331",OFFSET(TH!M$1,SMALL(Dong,ROWS($1:34)),),OFFSET(TH!L$1,SMALL(Dong,ROWS($1:34)),)))</f>
        <v>1331</v>
      </c>
      <c r="F47" s="43"/>
      <c r="G47" s="55">
        <f ca="1">IF(ROWS($1:34)&gt;COUNT(Dong),"",IF(OFFSET(TH!L$1,SMALL(Dong,ROWS($1:34)),)="331",OFFSET(TH!K$1,SMALL(Dong,ROWS($1:34)),),0))</f>
        <v>0</v>
      </c>
      <c r="H47" s="55">
        <f ca="1">IF(ROWS($1:34)&gt;COUNT(Dong),"",IF(OFFSET(TH!M$1,SMALL(Dong,ROWS($1:34)),)="331",OFFSET(TH!K$1,SMALL(Dong,ROWS($1:34)),),0))</f>
        <v>1275000</v>
      </c>
      <c r="I47" s="25">
        <f t="shared" ca="1" si="6"/>
        <v>0</v>
      </c>
      <c r="J47" s="25">
        <f t="shared" ca="1" si="7"/>
        <v>14025000</v>
      </c>
    </row>
    <row r="48" spans="1:10" s="18" customFormat="1" ht="18" customHeight="1">
      <c r="A48" s="9">
        <f ca="1">IF(ROWS($1:35)&gt;COUNT(Dong),"",OFFSET(TH!C$1,SMALL(Dong,ROWS($1:35)),))</f>
        <v>41215</v>
      </c>
      <c r="B48" s="9" t="str">
        <f ca="1">IF(ROWS($1:35)&gt;COUNT(Dong),"",OFFSET(TH!D$1,SMALL(Dong,ROWS($1:35)),))</f>
        <v>C10</v>
      </c>
      <c r="C48" s="9">
        <f ca="1">IF(ROWS($1:35)&gt;COUNT(Dong),"",OFFSET(TH!E$1,SMALL(Dong,ROWS($1:35)),))</f>
        <v>41215</v>
      </c>
      <c r="D48" s="213" t="str">
        <f ca="1">IF(ROWS($1:35)&gt;COUNT(Dong),"",OFFSET(TH!F$1,SMALL(Dong,ROWS($1:35)),))</f>
        <v>Thanh toán tiền hàng</v>
      </c>
      <c r="E48" s="43" t="str">
        <f ca="1">IF(ROWS($1:35)&gt;COUNT(Dong),"",IF(OFFSET(TH!L$1,SMALL(Dong,ROWS($1:35)),)="331",OFFSET(TH!M$1,SMALL(Dong,ROWS($1:35)),),OFFSET(TH!L$1,SMALL(Dong,ROWS($1:35)),)))</f>
        <v>1111</v>
      </c>
      <c r="F48" s="43"/>
      <c r="G48" s="55">
        <f ca="1">IF(ROWS($1:35)&gt;COUNT(Dong),"",IF(OFFSET(TH!L$1,SMALL(Dong,ROWS($1:35)),)="331",OFFSET(TH!K$1,SMALL(Dong,ROWS($1:35)),),0))</f>
        <v>14025000</v>
      </c>
      <c r="H48" s="55">
        <f ca="1">IF(ROWS($1:35)&gt;COUNT(Dong),"",IF(OFFSET(TH!M$1,SMALL(Dong,ROWS($1:35)),)="331",OFFSET(TH!K$1,SMALL(Dong,ROWS($1:35)),),0))</f>
        <v>0</v>
      </c>
      <c r="I48" s="25">
        <f t="shared" ca="1" si="6"/>
        <v>0</v>
      </c>
      <c r="J48" s="25">
        <f t="shared" ca="1" si="7"/>
        <v>0</v>
      </c>
    </row>
    <row r="49" spans="1:11" s="18" customFormat="1" ht="18" customHeight="1">
      <c r="A49" s="9">
        <f ca="1">IF(ROWS($1:36)&gt;COUNT(Dong),"",OFFSET(TH!C$1,SMALL(Dong,ROWS($1:36)),))</f>
        <v>41215</v>
      </c>
      <c r="B49" s="9" t="str">
        <f ca="1">IF(ROWS($1:36)&gt;COUNT(Dong),"",OFFSET(TH!D$1,SMALL(Dong,ROWS($1:36)),))</f>
        <v>N07</v>
      </c>
      <c r="C49" s="9">
        <f ca="1">IF(ROWS($1:36)&gt;COUNT(Dong),"",OFFSET(TH!E$1,SMALL(Dong,ROWS($1:36)),))</f>
        <v>41215</v>
      </c>
      <c r="D49" s="213" t="str">
        <f ca="1">IF(ROWS($1:36)&gt;COUNT(Dong),"",OFFSET(TH!F$1,SMALL(Dong,ROWS($1:36)),))</f>
        <v>Giấy tấm 1N +2X (110x151)</v>
      </c>
      <c r="E49" s="43" t="str">
        <f ca="1">IF(ROWS($1:36)&gt;COUNT(Dong),"",IF(OFFSET(TH!L$1,SMALL(Dong,ROWS($1:36)),)="331",OFFSET(TH!M$1,SMALL(Dong,ROWS($1:36)),),OFFSET(TH!L$1,SMALL(Dong,ROWS($1:36)),)))</f>
        <v>156</v>
      </c>
      <c r="F49" s="43"/>
      <c r="G49" s="55">
        <f ca="1">IF(ROWS($1:36)&gt;COUNT(Dong),"",IF(OFFSET(TH!L$1,SMALL(Dong,ROWS($1:36)),)="331",OFFSET(TH!K$1,SMALL(Dong,ROWS($1:36)),),0))</f>
        <v>0</v>
      </c>
      <c r="H49" s="55">
        <f ca="1">IF(ROWS($1:36)&gt;COUNT(Dong),"",IF(OFFSET(TH!M$1,SMALL(Dong,ROWS($1:36)),)="331",OFFSET(TH!K$1,SMALL(Dong,ROWS($1:36)),),0))</f>
        <v>5149000</v>
      </c>
      <c r="I49" s="25">
        <f t="shared" ca="1" si="6"/>
        <v>0</v>
      </c>
      <c r="J49" s="25">
        <f t="shared" ca="1" si="7"/>
        <v>5149000</v>
      </c>
    </row>
    <row r="50" spans="1:11" s="18" customFormat="1" ht="18" customHeight="1">
      <c r="A50" s="9"/>
      <c r="B50" s="9"/>
      <c r="C50" s="9"/>
      <c r="D50" s="213"/>
      <c r="E50" s="43"/>
      <c r="F50" s="43"/>
      <c r="G50" s="55"/>
      <c r="H50" s="55"/>
      <c r="I50" s="25"/>
      <c r="J50" s="25"/>
    </row>
    <row r="51" spans="1:11" s="18" customFormat="1" ht="18" customHeight="1">
      <c r="A51" s="24"/>
      <c r="B51" s="21"/>
      <c r="C51" s="26"/>
      <c r="D51" s="23" t="s">
        <v>33</v>
      </c>
      <c r="E51" s="21" t="s">
        <v>19</v>
      </c>
      <c r="F51" s="21" t="s">
        <v>19</v>
      </c>
      <c r="G51" s="27">
        <f ca="1">SUM(G14:G50)</f>
        <v>105120048</v>
      </c>
      <c r="H51" s="27">
        <f ca="1">SUM(H14:H50)</f>
        <v>110269048</v>
      </c>
      <c r="I51" s="27" t="s">
        <v>19</v>
      </c>
      <c r="J51" s="27" t="s">
        <v>19</v>
      </c>
    </row>
    <row r="52" spans="1:11" s="18" customFormat="1" ht="18" customHeight="1">
      <c r="A52" s="24"/>
      <c r="B52" s="21"/>
      <c r="C52" s="21"/>
      <c r="D52" s="23" t="s">
        <v>10</v>
      </c>
      <c r="E52" s="21" t="s">
        <v>19</v>
      </c>
      <c r="F52" s="21" t="s">
        <v>19</v>
      </c>
      <c r="G52" s="27" t="s">
        <v>19</v>
      </c>
      <c r="H52" s="27" t="s">
        <v>19</v>
      </c>
      <c r="I52" s="27">
        <f ca="1">MAX(I13+G51-H51-J13,0)</f>
        <v>0</v>
      </c>
      <c r="J52" s="27">
        <f ca="1">MAX(J13+H51-G51-I13,0)</f>
        <v>5149000</v>
      </c>
    </row>
    <row r="53" spans="1:11" s="18" customFormat="1" ht="6" customHeight="1">
      <c r="B53" s="19"/>
      <c r="C53" s="19"/>
      <c r="E53" s="19"/>
    </row>
    <row r="54" spans="1:11" s="18" customFormat="1" ht="14.25" customHeight="1">
      <c r="A54" s="28" t="s">
        <v>152</v>
      </c>
      <c r="B54" s="19"/>
      <c r="C54" s="19"/>
      <c r="E54" s="19"/>
      <c r="K54" s="28" t="s">
        <v>152</v>
      </c>
    </row>
    <row r="55" spans="1:11" s="18" customFormat="1" ht="14.25" customHeight="1">
      <c r="A55" s="28" t="str">
        <f ca="1">"- Ngày mở sổ: "&amp;DAY($A$14)&amp;"/"&amp;MONTH($A$14)&amp;"/ " &amp;YEAR($A$14)</f>
        <v>- Ngày mở sổ: 1/9/ 2012</v>
      </c>
      <c r="B55" s="19"/>
      <c r="C55" s="19"/>
      <c r="E55" s="19"/>
      <c r="K55" s="28" t="s">
        <v>34</v>
      </c>
    </row>
    <row r="56" spans="1:11" s="18" customFormat="1" ht="14.25" customHeight="1">
      <c r="B56" s="19"/>
      <c r="C56" s="19"/>
      <c r="E56" s="781" t="str">
        <f ca="1">"Ngày 31 tháng  12  năm  "&amp;YEAR($A$14)</f>
        <v>Ngày 31 tháng  12  năm  2012</v>
      </c>
      <c r="F56" s="781"/>
      <c r="G56" s="781"/>
      <c r="H56" s="781"/>
      <c r="I56" s="781"/>
      <c r="J56" s="781"/>
    </row>
    <row r="57" spans="1:11" s="18" customFormat="1" ht="14.25" customHeight="1">
      <c r="C57" s="201" t="s">
        <v>11</v>
      </c>
      <c r="E57" s="781" t="s">
        <v>12</v>
      </c>
      <c r="F57" s="781"/>
      <c r="G57" s="781"/>
      <c r="H57" s="781"/>
      <c r="I57" s="781"/>
      <c r="J57" s="781"/>
    </row>
    <row r="58" spans="1:11" s="18" customFormat="1" ht="14.25" customHeight="1">
      <c r="C58" s="201" t="s">
        <v>13</v>
      </c>
      <c r="E58" s="781" t="s">
        <v>13</v>
      </c>
      <c r="F58" s="781"/>
      <c r="G58" s="781"/>
      <c r="H58" s="781"/>
      <c r="I58" s="781"/>
      <c r="J58" s="781"/>
    </row>
    <row r="59" spans="1:11" s="29" customFormat="1"/>
    <row r="65" spans="3:3" ht="15">
      <c r="C65" s="212" t="s">
        <v>151</v>
      </c>
    </row>
  </sheetData>
  <autoFilter ref="A12:J21"/>
  <mergeCells count="15">
    <mergeCell ref="E57:J57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5"/>
  <sheetViews>
    <sheetView zoomScale="90" workbookViewId="0">
      <selection activeCell="A3" sqref="A3:D3"/>
    </sheetView>
  </sheetViews>
  <sheetFormatPr defaultRowHeight="15"/>
  <cols>
    <col min="1" max="1" width="9.7109375" style="252" customWidth="1"/>
    <col min="2" max="2" width="7" style="252" customWidth="1"/>
    <col min="3" max="3" width="9.140625" style="252"/>
    <col min="4" max="4" width="40.140625" style="252" customWidth="1"/>
    <col min="5" max="5" width="6.5703125" style="252" customWidth="1"/>
    <col min="6" max="8" width="10" style="252" customWidth="1"/>
    <col min="9" max="9" width="13.7109375" style="252" customWidth="1"/>
    <col min="10" max="10" width="10" style="252" customWidth="1"/>
    <col min="11" max="11" width="8.7109375" style="252" customWidth="1"/>
    <col min="12" max="12" width="15" style="252" customWidth="1"/>
    <col min="13" max="13" width="10" style="252" customWidth="1"/>
    <col min="14" max="14" width="9.42578125" style="252" customWidth="1"/>
    <col min="15" max="16384" width="9.140625" style="252"/>
  </cols>
  <sheetData>
    <row r="2" spans="1:14">
      <c r="A2" s="714" t="str">
        <f>TH!$A$1</f>
        <v>Đơn vị: CÔNG TY TNHH MỘT THÀNH VIÊN KHỞI NGUYÊN AN</v>
      </c>
      <c r="C2" s="253"/>
      <c r="F2" s="254"/>
      <c r="G2" s="254"/>
      <c r="H2" s="254"/>
      <c r="I2" s="254"/>
      <c r="J2" s="833" t="s">
        <v>167</v>
      </c>
      <c r="K2" s="833"/>
      <c r="L2" s="833"/>
      <c r="M2" s="833"/>
      <c r="N2" s="254"/>
    </row>
    <row r="3" spans="1:14">
      <c r="A3" s="715" t="str">
        <f>TH!$A$2</f>
        <v>Địa chỉ: Thửa đất số 144, tờ bản đồ số 12TĐH.1, tổ 1, khu phố Đông Tác, Phường Tân Đông Hiệp, Thị Xã Dĩ An, Tỉnh Bình Dương, Việt Nam</v>
      </c>
      <c r="C3" s="253"/>
      <c r="F3" s="255"/>
      <c r="G3" s="255"/>
      <c r="H3" s="255"/>
      <c r="I3" s="255"/>
      <c r="J3" s="832" t="str">
        <f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832"/>
      <c r="L3" s="832"/>
      <c r="M3" s="832"/>
      <c r="N3" s="255"/>
    </row>
    <row r="4" spans="1:14">
      <c r="F4" s="255"/>
      <c r="G4" s="255"/>
      <c r="H4" s="255"/>
      <c r="I4" s="255"/>
      <c r="J4" s="832"/>
      <c r="K4" s="832"/>
      <c r="L4" s="832"/>
      <c r="M4" s="832"/>
      <c r="N4" s="255"/>
    </row>
    <row r="5" spans="1:14" s="256" customFormat="1" ht="23.25" customHeight="1">
      <c r="A5" s="842" t="s">
        <v>168</v>
      </c>
      <c r="B5" s="842"/>
      <c r="C5" s="842"/>
      <c r="D5" s="842"/>
      <c r="E5" s="842"/>
      <c r="F5" s="842"/>
      <c r="G5" s="842"/>
      <c r="H5" s="842"/>
      <c r="I5" s="842"/>
      <c r="J5" s="842"/>
      <c r="K5" s="842"/>
      <c r="L5" s="842"/>
      <c r="M5" s="842"/>
      <c r="N5" s="842"/>
    </row>
    <row r="6" spans="1:14">
      <c r="A6" s="833" t="s">
        <v>345</v>
      </c>
      <c r="B6" s="833" t="s">
        <v>169</v>
      </c>
      <c r="C6" s="833"/>
      <c r="D6" s="833"/>
      <c r="E6" s="833"/>
      <c r="F6" s="833"/>
      <c r="G6" s="833"/>
      <c r="H6" s="833"/>
      <c r="I6" s="833"/>
      <c r="J6" s="833"/>
      <c r="K6" s="833"/>
      <c r="L6" s="833"/>
      <c r="M6" s="833"/>
      <c r="N6" s="833"/>
    </row>
    <row r="7" spans="1:14">
      <c r="C7" s="843"/>
      <c r="D7" s="843"/>
      <c r="E7" s="843"/>
      <c r="F7" s="843"/>
      <c r="G7" s="843"/>
      <c r="H7" s="843"/>
      <c r="I7" s="843"/>
      <c r="J7" s="843"/>
      <c r="K7" s="843"/>
      <c r="L7" s="843"/>
      <c r="M7" s="843"/>
      <c r="N7" s="843"/>
    </row>
    <row r="8" spans="1:14" ht="15.75" customHeight="1">
      <c r="A8" s="836" t="s">
        <v>20</v>
      </c>
      <c r="B8" s="844" t="s">
        <v>1</v>
      </c>
      <c r="C8" s="845"/>
      <c r="D8" s="836" t="s">
        <v>0</v>
      </c>
      <c r="E8" s="836" t="s">
        <v>14</v>
      </c>
      <c r="F8" s="835" t="s">
        <v>21</v>
      </c>
      <c r="G8" s="835"/>
      <c r="H8" s="835"/>
      <c r="I8" s="835"/>
      <c r="J8" s="835"/>
      <c r="K8" s="835"/>
      <c r="L8" s="835" t="s">
        <v>31</v>
      </c>
      <c r="M8" s="835"/>
      <c r="N8" s="835"/>
    </row>
    <row r="9" spans="1:14" ht="15.75" customHeight="1">
      <c r="A9" s="836"/>
      <c r="B9" s="846"/>
      <c r="C9" s="847"/>
      <c r="D9" s="836"/>
      <c r="E9" s="836"/>
      <c r="F9" s="835" t="s">
        <v>170</v>
      </c>
      <c r="G9" s="835"/>
      <c r="H9" s="835"/>
      <c r="I9" s="835" t="s">
        <v>171</v>
      </c>
      <c r="J9" s="835"/>
      <c r="K9" s="835"/>
      <c r="L9" s="836" t="s">
        <v>172</v>
      </c>
      <c r="M9" s="836" t="s">
        <v>173</v>
      </c>
      <c r="N9" s="836" t="s">
        <v>174</v>
      </c>
    </row>
    <row r="10" spans="1:14" ht="15.75" customHeight="1">
      <c r="A10" s="836"/>
      <c r="B10" s="838" t="s">
        <v>15</v>
      </c>
      <c r="C10" s="838" t="s">
        <v>32</v>
      </c>
      <c r="D10" s="836"/>
      <c r="E10" s="836"/>
      <c r="F10" s="840" t="s">
        <v>172</v>
      </c>
      <c r="G10" s="840" t="s">
        <v>173</v>
      </c>
      <c r="H10" s="840" t="s">
        <v>174</v>
      </c>
      <c r="I10" s="840" t="s">
        <v>172</v>
      </c>
      <c r="J10" s="840" t="s">
        <v>173</v>
      </c>
      <c r="K10" s="840" t="s">
        <v>174</v>
      </c>
      <c r="L10" s="837"/>
      <c r="M10" s="837"/>
      <c r="N10" s="837"/>
    </row>
    <row r="11" spans="1:14">
      <c r="A11" s="836"/>
      <c r="B11" s="839"/>
      <c r="C11" s="839"/>
      <c r="D11" s="836"/>
      <c r="E11" s="836"/>
      <c r="F11" s="841"/>
      <c r="G11" s="841"/>
      <c r="H11" s="841"/>
      <c r="I11" s="841"/>
      <c r="J11" s="841"/>
      <c r="K11" s="841"/>
      <c r="L11" s="837"/>
      <c r="M11" s="837"/>
      <c r="N11" s="837"/>
    </row>
    <row r="12" spans="1:14" s="255" customFormat="1">
      <c r="A12" s="257" t="s">
        <v>2</v>
      </c>
      <c r="B12" s="258" t="s">
        <v>3</v>
      </c>
      <c r="C12" s="257" t="s">
        <v>4</v>
      </c>
      <c r="D12" s="257" t="s">
        <v>5</v>
      </c>
      <c r="E12" s="257" t="s">
        <v>6</v>
      </c>
      <c r="F12" s="257">
        <v>1</v>
      </c>
      <c r="G12" s="257"/>
      <c r="H12" s="257"/>
      <c r="I12" s="257"/>
      <c r="J12" s="257"/>
      <c r="K12" s="257"/>
      <c r="L12" s="257"/>
      <c r="M12" s="257"/>
      <c r="N12" s="257"/>
    </row>
    <row r="13" spans="1:14">
      <c r="A13" s="259"/>
      <c r="B13" s="259"/>
      <c r="C13" s="719"/>
      <c r="D13" s="260" t="s">
        <v>7</v>
      </c>
      <c r="E13" s="259"/>
      <c r="F13" s="259"/>
      <c r="G13" s="259"/>
      <c r="H13" s="259"/>
      <c r="I13" s="259"/>
      <c r="J13" s="259"/>
      <c r="K13" s="259"/>
      <c r="L13" s="261">
        <f>CDPS!$D$33</f>
        <v>0</v>
      </c>
      <c r="M13" s="259"/>
      <c r="N13" s="259"/>
    </row>
    <row r="14" spans="1:14">
      <c r="A14" s="718">
        <v>40634</v>
      </c>
      <c r="B14" s="628" t="s">
        <v>291</v>
      </c>
      <c r="C14" s="718">
        <v>40634</v>
      </c>
      <c r="D14" s="262" t="s">
        <v>328</v>
      </c>
      <c r="E14" s="628" t="s">
        <v>47</v>
      </c>
      <c r="F14" s="262"/>
      <c r="G14" s="262"/>
      <c r="H14" s="262"/>
      <c r="I14" s="327">
        <v>1700000000</v>
      </c>
      <c r="J14" s="262"/>
      <c r="K14" s="262"/>
      <c r="L14" s="631">
        <f>L13+I14-G14</f>
        <v>1700000000</v>
      </c>
      <c r="M14" s="262"/>
      <c r="N14" s="262"/>
    </row>
    <row r="15" spans="1:14">
      <c r="A15" s="718">
        <v>40634</v>
      </c>
      <c r="B15" s="628" t="s">
        <v>292</v>
      </c>
      <c r="C15" s="718">
        <v>40634</v>
      </c>
      <c r="D15" s="263" t="s">
        <v>329</v>
      </c>
      <c r="E15" s="629" t="s">
        <v>47</v>
      </c>
      <c r="F15" s="263"/>
      <c r="G15" s="263"/>
      <c r="H15" s="263"/>
      <c r="I15" s="342">
        <v>100000000</v>
      </c>
      <c r="J15" s="263"/>
      <c r="K15" s="263"/>
      <c r="L15" s="631">
        <f t="shared" ref="L15:L16" si="0">L14+I15-G15</f>
        <v>1800000000</v>
      </c>
      <c r="M15" s="263"/>
      <c r="N15" s="263"/>
    </row>
    <row r="16" spans="1:14">
      <c r="A16" s="718">
        <v>40634</v>
      </c>
      <c r="B16" s="628" t="s">
        <v>293</v>
      </c>
      <c r="C16" s="718">
        <v>40634</v>
      </c>
      <c r="D16" s="263" t="s">
        <v>330</v>
      </c>
      <c r="E16" s="629" t="s">
        <v>47</v>
      </c>
      <c r="F16" s="263"/>
      <c r="G16" s="263"/>
      <c r="H16" s="263"/>
      <c r="I16" s="342">
        <v>100000000</v>
      </c>
      <c r="J16" s="263"/>
      <c r="K16" s="263"/>
      <c r="L16" s="631">
        <f t="shared" si="0"/>
        <v>1900000000</v>
      </c>
      <c r="M16" s="263"/>
      <c r="N16" s="263"/>
    </row>
    <row r="17" spans="1:14">
      <c r="A17" s="628"/>
      <c r="B17" s="262"/>
      <c r="C17" s="628"/>
      <c r="D17" s="263"/>
      <c r="E17" s="263"/>
      <c r="F17" s="263"/>
      <c r="G17" s="263"/>
      <c r="H17" s="263"/>
      <c r="I17" s="263"/>
      <c r="J17" s="263"/>
      <c r="K17" s="263"/>
      <c r="L17" s="263"/>
      <c r="M17" s="263"/>
      <c r="N17" s="263"/>
    </row>
    <row r="18" spans="1:14">
      <c r="A18" s="628"/>
      <c r="B18" s="262"/>
      <c r="C18" s="628"/>
      <c r="D18" s="264" t="s">
        <v>133</v>
      </c>
      <c r="E18" s="469" t="s">
        <v>19</v>
      </c>
      <c r="F18" s="265"/>
      <c r="G18" s="265"/>
      <c r="H18" s="265"/>
      <c r="I18" s="630">
        <f>SUM(I13:I17)</f>
        <v>1900000000</v>
      </c>
      <c r="J18" s="265"/>
      <c r="K18" s="265"/>
      <c r="L18" s="632">
        <f>L13+I18-F18</f>
        <v>1900000000</v>
      </c>
      <c r="M18" s="265"/>
      <c r="N18" s="265"/>
    </row>
    <row r="19" spans="1:14">
      <c r="A19" s="266"/>
      <c r="B19" s="266"/>
      <c r="C19" s="266"/>
      <c r="D19" s="267" t="s">
        <v>10</v>
      </c>
      <c r="E19" s="470" t="s">
        <v>19</v>
      </c>
      <c r="F19" s="266"/>
      <c r="G19" s="266"/>
      <c r="H19" s="266"/>
      <c r="I19" s="266"/>
      <c r="J19" s="266"/>
      <c r="K19" s="266"/>
      <c r="L19" s="268">
        <f>L13+L18</f>
        <v>1900000000</v>
      </c>
      <c r="M19" s="266"/>
      <c r="N19" s="266"/>
    </row>
    <row r="21" spans="1:14">
      <c r="C21" s="269" t="s">
        <v>175</v>
      </c>
    </row>
    <row r="22" spans="1:14">
      <c r="C22" s="175" t="str">
        <f>"- Ngày mở sổ: "&amp;DAY($A$15)&amp;"/"&amp;MONTH($A$15)&amp;"/ " &amp;YEAR($A$15)</f>
        <v>- Ngày mở sổ: 1/4/ 2011</v>
      </c>
    </row>
    <row r="23" spans="1:14">
      <c r="B23" s="270"/>
      <c r="C23" s="270"/>
      <c r="D23" s="270"/>
      <c r="E23" s="834" t="str">
        <f>"Ngày 31 tháng  12  năm  "&amp;YEAR($A$14)</f>
        <v>Ngày 31 tháng  12  năm  2011</v>
      </c>
      <c r="F23" s="834"/>
      <c r="G23" s="834"/>
      <c r="H23" s="834"/>
      <c r="I23" s="834"/>
      <c r="J23" s="834"/>
      <c r="K23" s="834"/>
      <c r="L23" s="834"/>
      <c r="M23" s="834"/>
      <c r="N23" s="834"/>
    </row>
    <row r="24" spans="1:14">
      <c r="A24" s="834" t="s">
        <v>11</v>
      </c>
      <c r="B24" s="834"/>
      <c r="C24" s="834"/>
      <c r="D24" s="834"/>
      <c r="E24" s="834" t="s">
        <v>12</v>
      </c>
      <c r="F24" s="834"/>
      <c r="G24" s="834"/>
      <c r="H24" s="834"/>
      <c r="I24" s="834"/>
      <c r="J24" s="834"/>
      <c r="K24" s="834"/>
      <c r="L24" s="834"/>
      <c r="M24" s="834"/>
      <c r="N24" s="834"/>
    </row>
    <row r="25" spans="1:14">
      <c r="A25" s="834" t="s">
        <v>13</v>
      </c>
      <c r="B25" s="834"/>
      <c r="C25" s="834"/>
      <c r="D25" s="834"/>
      <c r="E25" s="834" t="s">
        <v>13</v>
      </c>
      <c r="F25" s="834"/>
      <c r="G25" s="834"/>
      <c r="H25" s="834"/>
      <c r="I25" s="834"/>
      <c r="J25" s="834"/>
      <c r="K25" s="834"/>
      <c r="L25" s="834"/>
      <c r="M25" s="834"/>
      <c r="N25" s="834"/>
    </row>
  </sheetData>
  <mergeCells count="29">
    <mergeCell ref="E23:N23"/>
    <mergeCell ref="A24:D24"/>
    <mergeCell ref="E24:N24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J3:M4"/>
    <mergeCell ref="J2:M2"/>
    <mergeCell ref="A25:D25"/>
    <mergeCell ref="E25:N25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91"/>
  <sheetViews>
    <sheetView topLeftCell="A8" workbookViewId="0">
      <pane ySplit="4" topLeftCell="A12" activePane="bottomLeft" state="frozen"/>
      <selection activeCell="A8" sqref="A8"/>
      <selection pane="bottomLeft" activeCell="K27" activeCellId="1" sqref="K19:L20 K27:L27"/>
    </sheetView>
  </sheetViews>
  <sheetFormatPr defaultRowHeight="12.75"/>
  <cols>
    <col min="1" max="1" width="3.7109375" style="276" customWidth="1"/>
    <col min="2" max="2" width="3.42578125" style="276" customWidth="1"/>
    <col min="3" max="3" width="34" style="276" customWidth="1"/>
    <col min="4" max="4" width="7.7109375" style="279" customWidth="1"/>
    <col min="5" max="5" width="6.7109375" style="286" customWidth="1"/>
    <col min="6" max="6" width="7.5703125" style="286" customWidth="1"/>
    <col min="7" max="7" width="8" style="281" customWidth="1"/>
    <col min="8" max="8" width="12.140625" style="281" customWidth="1"/>
    <col min="9" max="9" width="7.85546875" style="281" customWidth="1"/>
    <col min="10" max="10" width="11.7109375" style="281" customWidth="1"/>
    <col min="11" max="11" width="7.85546875" style="281" customWidth="1"/>
    <col min="12" max="12" width="13" style="281" customWidth="1"/>
    <col min="13" max="13" width="9" style="276" customWidth="1"/>
    <col min="14" max="14" width="11.140625" style="281" bestFit="1" customWidth="1"/>
    <col min="15" max="16384" width="9.140625" style="276"/>
  </cols>
  <sheetData>
    <row r="1" spans="1:14" s="251" customFormat="1" ht="14.25" customHeight="1">
      <c r="A1" s="449"/>
      <c r="B1" s="714" t="str">
        <f>TH!$A$1</f>
        <v>Đơn vị: CÔNG TY TNHH MỘT THÀNH VIÊN KHỞI NGUYÊN AN</v>
      </c>
      <c r="C1" s="271"/>
      <c r="D1" s="271"/>
      <c r="E1" s="271"/>
      <c r="F1" s="272"/>
      <c r="G1" s="272"/>
      <c r="H1" s="826" t="s">
        <v>176</v>
      </c>
      <c r="I1" s="826"/>
      <c r="J1" s="826"/>
      <c r="K1" s="826"/>
      <c r="L1" s="826"/>
      <c r="M1" s="633"/>
      <c r="N1" s="634"/>
    </row>
    <row r="2" spans="1:14" s="251" customFormat="1" ht="14.25" customHeight="1">
      <c r="A2" s="449"/>
      <c r="B2" s="715" t="str">
        <f>TH!$A$2</f>
        <v>Địa chỉ: Thửa đất số 144, tờ bản đồ số 12TĐH.1, tổ 1, khu phố Đông Tác, Phường Tân Đông Hiệp, Thị Xã Dĩ An, Tỉnh Bình Dương, Việt Nam</v>
      </c>
      <c r="C2" s="273"/>
      <c r="D2" s="273"/>
      <c r="E2" s="273"/>
      <c r="F2" s="273"/>
      <c r="G2" s="273"/>
      <c r="H2" s="827" t="e">
        <f>IF(YEAR('152-CT'!#REF!)&gt;=2015,"(Ban hành theo Thông tư số 200/2014/TT-BTC 
 Ngày 22/12/2014 của Bộ Tài chính)","(Ban hành kèm theo QĐ 48/2006/QĐ-BTC ngày 24/09/2006 của Bộ trưởng BTC)")</f>
        <v>#REF!</v>
      </c>
      <c r="I2" s="827"/>
      <c r="J2" s="827"/>
      <c r="K2" s="827"/>
      <c r="L2" s="827"/>
      <c r="M2" s="639"/>
      <c r="N2" s="634"/>
    </row>
    <row r="3" spans="1:14" s="251" customFormat="1" ht="14.25" customHeight="1">
      <c r="A3" s="449"/>
      <c r="B3" s="273"/>
      <c r="C3" s="273"/>
      <c r="D3" s="273"/>
      <c r="E3" s="273"/>
      <c r="F3" s="273"/>
      <c r="G3" s="273"/>
      <c r="H3" s="827"/>
      <c r="I3" s="827"/>
      <c r="J3" s="827"/>
      <c r="K3" s="827"/>
      <c r="L3" s="827"/>
      <c r="M3" s="640"/>
      <c r="N3" s="634"/>
    </row>
    <row r="4" spans="1:14" s="274" customFormat="1" ht="27.75" customHeight="1">
      <c r="B4" s="849" t="s">
        <v>177</v>
      </c>
      <c r="C4" s="849"/>
      <c r="D4" s="849"/>
      <c r="E4" s="849"/>
      <c r="F4" s="849"/>
      <c r="G4" s="849"/>
      <c r="H4" s="849"/>
      <c r="I4" s="849"/>
      <c r="J4" s="849"/>
      <c r="K4" s="849"/>
      <c r="L4" s="849"/>
      <c r="N4" s="635"/>
    </row>
    <row r="5" spans="1:14" s="274" customFormat="1" ht="15" customHeight="1">
      <c r="B5" s="848" t="s">
        <v>178</v>
      </c>
      <c r="C5" s="848"/>
      <c r="D5" s="848"/>
      <c r="E5" s="848"/>
      <c r="F5" s="848"/>
      <c r="G5" s="848"/>
      <c r="H5" s="848"/>
      <c r="I5" s="848"/>
      <c r="J5" s="848"/>
      <c r="K5" s="848"/>
      <c r="L5" s="848"/>
      <c r="N5" s="635"/>
    </row>
    <row r="6" spans="1:14" s="274" customFormat="1" ht="12.75" hidden="1" customHeight="1">
      <c r="B6" s="848" t="s">
        <v>179</v>
      </c>
      <c r="C6" s="848"/>
      <c r="D6" s="848"/>
      <c r="E6" s="848"/>
      <c r="F6" s="848"/>
      <c r="G6" s="848"/>
      <c r="H6" s="848"/>
      <c r="I6" s="848"/>
      <c r="J6" s="848"/>
      <c r="K6" s="848"/>
      <c r="L6" s="848"/>
      <c r="N6" s="635"/>
    </row>
    <row r="7" spans="1:14" s="275" customFormat="1" ht="24" hidden="1" customHeight="1">
      <c r="C7" s="856" t="s">
        <v>180</v>
      </c>
      <c r="D7" s="856"/>
      <c r="E7" s="856"/>
      <c r="F7" s="856"/>
      <c r="G7" s="856"/>
      <c r="H7" s="856"/>
      <c r="I7" s="856"/>
      <c r="J7" s="856"/>
      <c r="K7" s="856"/>
      <c r="L7" s="856"/>
      <c r="N7" s="636"/>
    </row>
    <row r="8" spans="1:14" ht="20.25" customHeight="1">
      <c r="B8" s="850" t="s">
        <v>35</v>
      </c>
      <c r="C8" s="851" t="s">
        <v>181</v>
      </c>
      <c r="D8" s="852" t="s">
        <v>182</v>
      </c>
      <c r="E8" s="854" t="s">
        <v>139</v>
      </c>
      <c r="F8" s="854"/>
      <c r="G8" s="854"/>
      <c r="H8" s="854"/>
      <c r="I8" s="854"/>
      <c r="J8" s="854"/>
      <c r="K8" s="854"/>
      <c r="L8" s="854"/>
    </row>
    <row r="9" spans="1:14" ht="20.25" customHeight="1">
      <c r="B9" s="850"/>
      <c r="C9" s="851"/>
      <c r="D9" s="853"/>
      <c r="E9" s="854" t="s">
        <v>183</v>
      </c>
      <c r="F9" s="854"/>
      <c r="G9" s="855" t="s">
        <v>184</v>
      </c>
      <c r="H9" s="855"/>
      <c r="I9" s="855" t="s">
        <v>185</v>
      </c>
      <c r="J9" s="855"/>
      <c r="K9" s="855" t="s">
        <v>186</v>
      </c>
      <c r="L9" s="855"/>
    </row>
    <row r="10" spans="1:14" ht="20.25" hidden="1" customHeight="1">
      <c r="B10" s="850"/>
      <c r="C10" s="851"/>
      <c r="D10" s="277"/>
      <c r="E10" s="278" t="s">
        <v>187</v>
      </c>
      <c r="F10" s="278" t="s">
        <v>188</v>
      </c>
      <c r="G10" s="278" t="s">
        <v>187</v>
      </c>
      <c r="H10" s="278" t="s">
        <v>188</v>
      </c>
      <c r="I10" s="278" t="s">
        <v>187</v>
      </c>
      <c r="J10" s="278" t="s">
        <v>188</v>
      </c>
      <c r="K10" s="278" t="s">
        <v>187</v>
      </c>
      <c r="L10" s="278" t="s">
        <v>188</v>
      </c>
    </row>
    <row r="11" spans="1:14" s="279" customFormat="1">
      <c r="B11" s="280" t="s">
        <v>2</v>
      </c>
      <c r="C11" s="277" t="s">
        <v>3</v>
      </c>
      <c r="D11" s="277"/>
      <c r="E11" s="278">
        <v>1</v>
      </c>
      <c r="F11" s="278">
        <v>1</v>
      </c>
      <c r="G11" s="278">
        <v>2</v>
      </c>
      <c r="H11" s="278">
        <v>2</v>
      </c>
      <c r="I11" s="278">
        <v>3</v>
      </c>
      <c r="J11" s="278">
        <v>3</v>
      </c>
      <c r="K11" s="278">
        <v>4</v>
      </c>
      <c r="L11" s="278">
        <v>4</v>
      </c>
      <c r="N11" s="637"/>
    </row>
    <row r="12" spans="1:14" ht="18.75" customHeight="1">
      <c r="A12" s="276" t="s">
        <v>198</v>
      </c>
      <c r="B12" s="671">
        <f t="shared" ref="B12:B32" si="0">IF(C12&lt;&gt;"",ROW()-11,"")</f>
        <v>1</v>
      </c>
      <c r="C12" s="688" t="s">
        <v>415</v>
      </c>
      <c r="D12" s="283" t="s">
        <v>290</v>
      </c>
      <c r="E12" s="25"/>
      <c r="F12" s="25"/>
      <c r="G12" s="25">
        <f t="array" ref="G12">SUM(IF("156"&amp;C12=KHN&amp;MH,SL))</f>
        <v>1000</v>
      </c>
      <c r="H12" s="25">
        <f t="array" ref="H12">SUM(IF("156"&amp;C12=KHN&amp;MH,TH))</f>
        <v>12319000</v>
      </c>
      <c r="I12" s="25">
        <f t="array" ref="I12">SUM(IF("156"&amp;C12=KHC&amp;MH,SL))</f>
        <v>1000</v>
      </c>
      <c r="J12" s="25">
        <f t="array" ref="J12">SUM(IF("156"&amp;C12=KHC&amp;MH,TH))</f>
        <v>12319000</v>
      </c>
      <c r="K12" s="25">
        <f t="shared" ref="K12:K32" si="1">E12+G12-I12</f>
        <v>0</v>
      </c>
      <c r="L12" s="25">
        <f t="shared" ref="L12:L32" si="2">F12+H12-J12</f>
        <v>0</v>
      </c>
      <c r="M12" s="281"/>
    </row>
    <row r="13" spans="1:14" ht="18.75" customHeight="1">
      <c r="A13" s="276" t="s">
        <v>198</v>
      </c>
      <c r="B13" s="671">
        <f t="shared" si="0"/>
        <v>2</v>
      </c>
      <c r="C13" s="689" t="s">
        <v>467</v>
      </c>
      <c r="D13" s="283" t="s">
        <v>290</v>
      </c>
      <c r="E13" s="25"/>
      <c r="F13" s="25"/>
      <c r="G13" s="25">
        <f t="array" ref="G13">SUM(IF("156"&amp;C13=KHN&amp;MH,SL))</f>
        <v>750</v>
      </c>
      <c r="H13" s="25">
        <f t="array" ref="H13">SUM(IF("156"&amp;C13=KHN&amp;MH,TH))</f>
        <v>7254000</v>
      </c>
      <c r="I13" s="25">
        <f t="array" ref="I13">SUM(IF("156"&amp;C13=KHC&amp;MH,SL))</f>
        <v>750</v>
      </c>
      <c r="J13" s="25">
        <f t="array" ref="J13">SUM(IF("156"&amp;C13=KHC&amp;MH,TH))</f>
        <v>7254000</v>
      </c>
      <c r="K13" s="25">
        <f t="shared" si="1"/>
        <v>0</v>
      </c>
      <c r="L13" s="25">
        <f t="shared" si="2"/>
        <v>0</v>
      </c>
      <c r="M13" s="281"/>
    </row>
    <row r="14" spans="1:14" ht="18.75" customHeight="1">
      <c r="A14" s="276" t="s">
        <v>198</v>
      </c>
      <c r="B14" s="671">
        <f t="shared" si="0"/>
        <v>3</v>
      </c>
      <c r="C14" s="689" t="s">
        <v>422</v>
      </c>
      <c r="D14" s="283" t="s">
        <v>290</v>
      </c>
      <c r="E14" s="25"/>
      <c r="F14" s="25"/>
      <c r="G14" s="25">
        <f t="array" ref="G14">SUM(IF("156"&amp;C14=KHN&amp;MH,SL))</f>
        <v>2000</v>
      </c>
      <c r="H14" s="25">
        <f t="array" ref="H14">SUM(IF("156"&amp;C14=KHN&amp;MH,TH))</f>
        <v>20572000</v>
      </c>
      <c r="I14" s="25">
        <f t="array" ref="I14">SUM(IF("156"&amp;C14=KHC&amp;MH,SL))</f>
        <v>2000</v>
      </c>
      <c r="J14" s="25">
        <f t="array" ref="J14">SUM(IF("156"&amp;C14=KHC&amp;MH,TH))</f>
        <v>20572000</v>
      </c>
      <c r="K14" s="25">
        <f t="shared" si="1"/>
        <v>0</v>
      </c>
      <c r="L14" s="25">
        <f t="shared" si="2"/>
        <v>0</v>
      </c>
      <c r="M14" s="281"/>
    </row>
    <row r="15" spans="1:14" ht="18.75" customHeight="1">
      <c r="A15" s="276" t="s">
        <v>198</v>
      </c>
      <c r="B15" s="671">
        <f t="shared" si="0"/>
        <v>4</v>
      </c>
      <c r="C15" s="282" t="s">
        <v>395</v>
      </c>
      <c r="D15" s="283" t="s">
        <v>290</v>
      </c>
      <c r="E15" s="25"/>
      <c r="F15" s="25"/>
      <c r="G15" s="25">
        <f t="array" ref="G15">SUM(IF("156"&amp;C15=KHN&amp;MH,SL))</f>
        <v>500</v>
      </c>
      <c r="H15" s="25">
        <f t="array" ref="H15">SUM(IF("156"&amp;C15=KHN&amp;MH,TH))</f>
        <v>5143000</v>
      </c>
      <c r="I15" s="25">
        <f t="array" ref="I15">SUM(IF("156"&amp;C15=KHC&amp;MH,SL))</f>
        <v>500</v>
      </c>
      <c r="J15" s="25">
        <f t="array" ref="J15">SUM(IF("156"&amp;C15=KHC&amp;MH,TH))</f>
        <v>5143000</v>
      </c>
      <c r="K15" s="25">
        <f t="shared" si="1"/>
        <v>0</v>
      </c>
      <c r="L15" s="25">
        <f t="shared" si="2"/>
        <v>0</v>
      </c>
      <c r="M15" s="281"/>
    </row>
    <row r="16" spans="1:14" ht="18.75" customHeight="1">
      <c r="A16" s="276" t="s">
        <v>198</v>
      </c>
      <c r="B16" s="671">
        <f t="shared" si="0"/>
        <v>5</v>
      </c>
      <c r="C16" s="282" t="s">
        <v>449</v>
      </c>
      <c r="D16" s="283" t="s">
        <v>290</v>
      </c>
      <c r="E16" s="25"/>
      <c r="F16" s="25"/>
      <c r="G16" s="25">
        <f t="array" ref="G16">SUM(IF("156"&amp;C16=KHN&amp;MH,SL))</f>
        <v>175</v>
      </c>
      <c r="H16" s="25">
        <f t="array" ref="H16">SUM(IF("156"&amp;C16=KHN&amp;MH,TH))</f>
        <v>1845550</v>
      </c>
      <c r="I16" s="25">
        <f t="array" ref="I16">SUM(IF("156"&amp;C16=KHC&amp;MH,SL))</f>
        <v>175</v>
      </c>
      <c r="J16" s="25">
        <f t="array" ref="J16">SUM(IF("156"&amp;C16=KHC&amp;MH,TH))</f>
        <v>1845550</v>
      </c>
      <c r="K16" s="25">
        <f t="shared" si="1"/>
        <v>0</v>
      </c>
      <c r="L16" s="25">
        <f t="shared" si="2"/>
        <v>0</v>
      </c>
      <c r="M16" s="281"/>
    </row>
    <row r="17" spans="1:13" ht="18.75" customHeight="1">
      <c r="A17" s="276" t="s">
        <v>198</v>
      </c>
      <c r="B17" s="671">
        <f t="shared" si="0"/>
        <v>6</v>
      </c>
      <c r="C17" s="689" t="s">
        <v>454</v>
      </c>
      <c r="D17" s="283" t="s">
        <v>290</v>
      </c>
      <c r="E17" s="25"/>
      <c r="F17" s="25"/>
      <c r="G17" s="25">
        <f t="array" ref="G17">SUM(IF("156"&amp;C17=KHN&amp;MH,SL))</f>
        <v>150</v>
      </c>
      <c r="H17" s="25">
        <f t="array" ref="H17">SUM(IF("156"&amp;C17=KHN&amp;MH,TH))</f>
        <v>1534500</v>
      </c>
      <c r="I17" s="25">
        <f t="array" ref="I17">SUM(IF("156"&amp;C17=KHC&amp;MH,SL))</f>
        <v>150</v>
      </c>
      <c r="J17" s="25">
        <f t="array" ref="J17">SUM(IF("156"&amp;C17=KHC&amp;MH,TH))</f>
        <v>1534500</v>
      </c>
      <c r="K17" s="25">
        <f t="shared" si="1"/>
        <v>0</v>
      </c>
      <c r="L17" s="25">
        <f t="shared" si="2"/>
        <v>0</v>
      </c>
      <c r="M17" s="281"/>
    </row>
    <row r="18" spans="1:13" ht="18.75" customHeight="1">
      <c r="A18" s="276" t="s">
        <v>198</v>
      </c>
      <c r="B18" s="671">
        <f t="shared" si="0"/>
        <v>7</v>
      </c>
      <c r="C18" s="282" t="s">
        <v>399</v>
      </c>
      <c r="D18" s="283" t="s">
        <v>290</v>
      </c>
      <c r="E18" s="25"/>
      <c r="F18" s="25"/>
      <c r="G18" s="25">
        <f t="array" ref="G18">SUM(IF("156"&amp;C18=KHN&amp;MH,SL))</f>
        <v>2050</v>
      </c>
      <c r="H18" s="25">
        <f t="array" ref="H18">SUM(IF("156"&amp;C18=KHN&amp;MH,TH))</f>
        <v>21110900</v>
      </c>
      <c r="I18" s="25">
        <f t="array" ref="I18">SUM(IF("156"&amp;C18=KHC&amp;MH,SL))</f>
        <v>2050</v>
      </c>
      <c r="J18" s="25">
        <f t="array" ref="J18">SUM(IF("156"&amp;C18=KHC&amp;MH,TH))</f>
        <v>21110900</v>
      </c>
      <c r="K18" s="25">
        <f t="shared" si="1"/>
        <v>0</v>
      </c>
      <c r="L18" s="25">
        <f t="shared" si="2"/>
        <v>0</v>
      </c>
      <c r="M18" s="281"/>
    </row>
    <row r="19" spans="1:13" ht="18.75" customHeight="1">
      <c r="A19" s="276" t="s">
        <v>198</v>
      </c>
      <c r="B19" s="671">
        <f t="shared" si="0"/>
        <v>8</v>
      </c>
      <c r="C19" s="282" t="s">
        <v>394</v>
      </c>
      <c r="D19" s="283" t="s">
        <v>290</v>
      </c>
      <c r="E19" s="25"/>
      <c r="F19" s="25"/>
      <c r="G19" s="25">
        <f t="array" ref="G19">SUM(IF("156"&amp;C19=KHN&amp;MH,SL))</f>
        <v>600</v>
      </c>
      <c r="H19" s="25">
        <f t="array" ref="H19">SUM(IF("156"&amp;C19=KHN&amp;MH,TH))</f>
        <v>6506400</v>
      </c>
      <c r="I19" s="25">
        <f t="array" ref="I19">SUM(IF("156"&amp;C19=KHC&amp;MH,SL))</f>
        <v>283</v>
      </c>
      <c r="J19" s="25">
        <f t="array" ref="J19">SUM(IF("156"&amp;C19=KHC&amp;MH,TH))</f>
        <v>3068852</v>
      </c>
      <c r="K19" s="25">
        <f t="shared" si="1"/>
        <v>317</v>
      </c>
      <c r="L19" s="25">
        <f t="shared" si="2"/>
        <v>3437548</v>
      </c>
      <c r="M19" s="281"/>
    </row>
    <row r="20" spans="1:13" ht="18.75" customHeight="1">
      <c r="A20" s="276" t="s">
        <v>198</v>
      </c>
      <c r="B20" s="671">
        <f t="shared" si="0"/>
        <v>9</v>
      </c>
      <c r="C20" s="282" t="s">
        <v>393</v>
      </c>
      <c r="D20" s="283" t="s">
        <v>290</v>
      </c>
      <c r="E20" s="25"/>
      <c r="F20" s="25"/>
      <c r="G20" s="25">
        <f t="array" ref="G20">SUM(IF("156"&amp;C20=KHN&amp;MH,SL))</f>
        <v>600</v>
      </c>
      <c r="H20" s="25">
        <f t="array" ref="H20">SUM(IF("156"&amp;C20=KHN&amp;MH,TH))</f>
        <v>6628800</v>
      </c>
      <c r="I20" s="25">
        <f t="array" ref="I20">SUM(IF("156"&amp;C20=KHC&amp;MH,SL))</f>
        <v>574</v>
      </c>
      <c r="J20" s="25">
        <f t="array" ref="J20">SUM(IF("156"&amp;C20=KHC&amp;MH,TH))</f>
        <v>6341552</v>
      </c>
      <c r="K20" s="25">
        <f t="shared" si="1"/>
        <v>26</v>
      </c>
      <c r="L20" s="25">
        <f t="shared" si="2"/>
        <v>287248</v>
      </c>
      <c r="M20" s="281"/>
    </row>
    <row r="21" spans="1:13" ht="18.75" customHeight="1">
      <c r="A21" s="276" t="s">
        <v>198</v>
      </c>
      <c r="B21" s="671">
        <f t="shared" si="0"/>
        <v>10</v>
      </c>
      <c r="C21" s="284" t="s">
        <v>396</v>
      </c>
      <c r="D21" s="283" t="s">
        <v>290</v>
      </c>
      <c r="E21" s="25"/>
      <c r="F21" s="25"/>
      <c r="G21" s="25">
        <f t="array" ref="G21">SUM(IF("156"&amp;C21=KHN&amp;MH,SL))</f>
        <v>1000</v>
      </c>
      <c r="H21" s="25">
        <f t="array" ref="H21">SUM(IF("156"&amp;C21=KHN&amp;MH,TH))</f>
        <v>11622000</v>
      </c>
      <c r="I21" s="25">
        <f t="array" ref="I21">SUM(IF("156"&amp;C21=KHC&amp;MH,SL))</f>
        <v>1000</v>
      </c>
      <c r="J21" s="25">
        <f t="array" ref="J21">SUM(IF("156"&amp;C21=KHC&amp;MH,TH))</f>
        <v>11622000</v>
      </c>
      <c r="K21" s="25">
        <f t="shared" si="1"/>
        <v>0</v>
      </c>
      <c r="L21" s="25">
        <f t="shared" si="2"/>
        <v>0</v>
      </c>
      <c r="M21" s="281"/>
    </row>
    <row r="22" spans="1:13" ht="18.75" customHeight="1">
      <c r="A22" s="276" t="s">
        <v>198</v>
      </c>
      <c r="B22" s="671">
        <f t="shared" si="0"/>
        <v>11</v>
      </c>
      <c r="C22" s="183" t="s">
        <v>451</v>
      </c>
      <c r="D22" s="283" t="s">
        <v>290</v>
      </c>
      <c r="E22" s="25"/>
      <c r="F22" s="25"/>
      <c r="G22" s="25">
        <f t="array" ref="G22">SUM(IF("156"&amp;C22=KHN&amp;MH,SL))</f>
        <v>800</v>
      </c>
      <c r="H22" s="25">
        <f t="array" ref="H22">SUM(IF("156"&amp;C22=KHN&amp;MH,TH))</f>
        <v>9354400</v>
      </c>
      <c r="I22" s="25">
        <f t="array" ref="I22">SUM(IF("156"&amp;C22=KHC&amp;MH,SL))</f>
        <v>800</v>
      </c>
      <c r="J22" s="25">
        <f t="array" ref="J22">SUM(IF("156"&amp;C22=KHC&amp;MH,TH))</f>
        <v>9354400</v>
      </c>
      <c r="K22" s="25">
        <f t="shared" si="1"/>
        <v>0</v>
      </c>
      <c r="L22" s="25">
        <f t="shared" si="2"/>
        <v>0</v>
      </c>
      <c r="M22" s="281"/>
    </row>
    <row r="23" spans="1:13" ht="18.75" customHeight="1">
      <c r="A23" s="276" t="s">
        <v>198</v>
      </c>
      <c r="B23" s="671">
        <f t="shared" si="0"/>
        <v>12</v>
      </c>
      <c r="C23" s="186" t="s">
        <v>465</v>
      </c>
      <c r="D23" s="283" t="s">
        <v>290</v>
      </c>
      <c r="E23" s="25"/>
      <c r="F23" s="25"/>
      <c r="G23" s="25">
        <f t="array" ref="G23">SUM(IF("156"&amp;C23=KHN&amp;MH,SL))</f>
        <v>550</v>
      </c>
      <c r="H23" s="25">
        <f t="array" ref="H23">SUM(IF("156"&amp;C23=KHN&amp;MH,TH))</f>
        <v>6342600</v>
      </c>
      <c r="I23" s="25">
        <f t="array" ref="I23">SUM(IF("156"&amp;C23=KHC&amp;MH,SL))</f>
        <v>550</v>
      </c>
      <c r="J23" s="25">
        <f t="array" ref="J23">SUM(IF("156"&amp;C23=KHC&amp;MH,TH))</f>
        <v>6342600</v>
      </c>
      <c r="K23" s="25">
        <f t="shared" si="1"/>
        <v>0</v>
      </c>
      <c r="L23" s="25">
        <f t="shared" si="2"/>
        <v>0</v>
      </c>
      <c r="M23" s="281"/>
    </row>
    <row r="24" spans="1:13" ht="18.75" customHeight="1">
      <c r="A24" s="276" t="s">
        <v>198</v>
      </c>
      <c r="B24" s="671">
        <f t="shared" si="0"/>
        <v>13</v>
      </c>
      <c r="C24" s="284" t="s">
        <v>423</v>
      </c>
      <c r="D24" s="283" t="s">
        <v>290</v>
      </c>
      <c r="E24" s="25"/>
      <c r="F24" s="25"/>
      <c r="G24" s="25">
        <f t="array" ref="G24">SUM(IF("156"&amp;C24=KHN&amp;MH,SL))</f>
        <v>500</v>
      </c>
      <c r="H24" s="25">
        <f t="array" ref="H24">SUM(IF("156"&amp;C24=KHN&amp;MH,TH))</f>
        <v>6510000</v>
      </c>
      <c r="I24" s="25">
        <f t="array" ref="I24">SUM(IF("156"&amp;C24=KHC&amp;MH,SL))</f>
        <v>500</v>
      </c>
      <c r="J24" s="25">
        <f t="array" ref="J24">SUM(IF("156"&amp;C24=KHC&amp;MH,TH))</f>
        <v>6510000</v>
      </c>
      <c r="K24" s="25">
        <f t="shared" si="1"/>
        <v>0</v>
      </c>
      <c r="L24" s="25">
        <f t="shared" si="2"/>
        <v>0</v>
      </c>
      <c r="M24" s="281"/>
    </row>
    <row r="25" spans="1:13" ht="18.75" customHeight="1">
      <c r="A25" s="276" t="s">
        <v>198</v>
      </c>
      <c r="B25" s="671">
        <f t="shared" si="0"/>
        <v>14</v>
      </c>
      <c r="C25" s="284" t="s">
        <v>400</v>
      </c>
      <c r="D25" s="283" t="s">
        <v>290</v>
      </c>
      <c r="E25" s="25"/>
      <c r="F25" s="25"/>
      <c r="G25" s="25">
        <f t="array" ref="G25">SUM(IF("156"&amp;C25=KHN&amp;MH,SL))</f>
        <v>1260</v>
      </c>
      <c r="H25" s="25">
        <f t="array" ref="H25">SUM(IF("156"&amp;C25=KHN&amp;MH,TH))</f>
        <v>13677960</v>
      </c>
      <c r="I25" s="25">
        <f t="array" ref="I25">SUM(IF("156"&amp;C25=KHC&amp;MH,SL))</f>
        <v>1260</v>
      </c>
      <c r="J25" s="25">
        <f t="array" ref="J25">SUM(IF("156"&amp;C25=KHC&amp;MH,TH))</f>
        <v>13677960</v>
      </c>
      <c r="K25" s="25">
        <f t="shared" si="1"/>
        <v>0</v>
      </c>
      <c r="L25" s="25">
        <f t="shared" si="2"/>
        <v>0</v>
      </c>
      <c r="M25" s="281"/>
    </row>
    <row r="26" spans="1:13" ht="18.75" customHeight="1">
      <c r="A26" s="276" t="s">
        <v>198</v>
      </c>
      <c r="B26" s="671">
        <f t="shared" si="0"/>
        <v>15</v>
      </c>
      <c r="C26" s="183" t="s">
        <v>429</v>
      </c>
      <c r="D26" s="283" t="s">
        <v>290</v>
      </c>
      <c r="E26" s="25"/>
      <c r="F26" s="25"/>
      <c r="G26" s="25">
        <f t="array" ref="G26">SUM(IF("156"&amp;C26=KHN&amp;MH,SL))</f>
        <v>1650</v>
      </c>
      <c r="H26" s="25">
        <f t="array" ref="H26">SUM(IF("156"&amp;C26=KHN&amp;MH,TH))</f>
        <v>14117400</v>
      </c>
      <c r="I26" s="25">
        <f t="array" ref="I26">SUM(IF("156"&amp;C26=KHC&amp;MH,SL))</f>
        <v>1650</v>
      </c>
      <c r="J26" s="25">
        <f t="array" ref="J26">SUM(IF("156"&amp;C26=KHC&amp;MH,TH))</f>
        <v>14117400</v>
      </c>
      <c r="K26" s="25">
        <f t="shared" si="1"/>
        <v>0</v>
      </c>
      <c r="L26" s="25">
        <f t="shared" si="2"/>
        <v>0</v>
      </c>
      <c r="M26" s="281"/>
    </row>
    <row r="27" spans="1:13" ht="18.75" customHeight="1">
      <c r="A27" s="276" t="s">
        <v>198</v>
      </c>
      <c r="B27" s="671">
        <f t="shared" si="0"/>
        <v>16</v>
      </c>
      <c r="C27" s="284" t="s">
        <v>407</v>
      </c>
      <c r="D27" s="283" t="s">
        <v>290</v>
      </c>
      <c r="E27" s="25"/>
      <c r="F27" s="25"/>
      <c r="G27" s="25">
        <f t="array" ref="G27">SUM(IF("156"&amp;C27=KHN&amp;MH,SL))</f>
        <v>500</v>
      </c>
      <c r="H27" s="25">
        <f t="array" ref="H27">SUM(IF("156"&amp;C27=KHN&amp;MH,TH))</f>
        <v>5143000</v>
      </c>
      <c r="I27" s="25">
        <f t="array" ref="I27">SUM(IF("156"&amp;C27=KHC&amp;MH,SL))</f>
        <v>0</v>
      </c>
      <c r="J27" s="25">
        <f t="array" ref="J27">SUM(IF("156"&amp;C27=KHC&amp;MH,TH))</f>
        <v>0</v>
      </c>
      <c r="K27" s="25">
        <f t="shared" si="1"/>
        <v>500</v>
      </c>
      <c r="L27" s="25">
        <f t="shared" si="2"/>
        <v>5143000</v>
      </c>
      <c r="M27" s="281"/>
    </row>
    <row r="28" spans="1:13" ht="18.75" customHeight="1">
      <c r="A28" s="276" t="s">
        <v>198</v>
      </c>
      <c r="B28" s="671">
        <f t="shared" si="0"/>
        <v>17</v>
      </c>
      <c r="C28" s="186" t="s">
        <v>455</v>
      </c>
      <c r="D28" s="283" t="s">
        <v>290</v>
      </c>
      <c r="E28" s="25"/>
      <c r="F28" s="25"/>
      <c r="G28" s="25">
        <f t="array" ref="G28">SUM(IF("156"&amp;C28=KHN&amp;MH,SL))</f>
        <v>502</v>
      </c>
      <c r="H28" s="25">
        <f t="array" ref="H28">SUM(IF("156"&amp;C28=KHN&amp;MH,TH))</f>
        <v>5615372</v>
      </c>
      <c r="I28" s="25">
        <f t="array" ref="I28">SUM(IF("156"&amp;C28=KHC&amp;MH,SL))</f>
        <v>502</v>
      </c>
      <c r="J28" s="25">
        <f t="array" ref="J28">SUM(IF("156"&amp;C28=KHC&amp;MH,TH))</f>
        <v>5615372</v>
      </c>
      <c r="K28" s="25">
        <f t="shared" si="1"/>
        <v>0</v>
      </c>
      <c r="L28" s="25">
        <f t="shared" si="2"/>
        <v>0</v>
      </c>
      <c r="M28" s="281"/>
    </row>
    <row r="29" spans="1:13" ht="18.75" customHeight="1">
      <c r="A29" s="276" t="s">
        <v>198</v>
      </c>
      <c r="B29" s="671">
        <f t="shared" si="0"/>
        <v>18</v>
      </c>
      <c r="C29" s="183" t="s">
        <v>426</v>
      </c>
      <c r="D29" s="283" t="s">
        <v>290</v>
      </c>
      <c r="E29" s="25"/>
      <c r="F29" s="25"/>
      <c r="G29" s="25">
        <f t="array" ref="G29">SUM(IF("156"&amp;C29=KHN&amp;MH,SL))</f>
        <v>1500</v>
      </c>
      <c r="H29" s="25">
        <f t="array" ref="H29">SUM(IF("156"&amp;C29=KHN&amp;MH,TH))</f>
        <v>19125000</v>
      </c>
      <c r="I29" s="25">
        <f t="array" ref="I29">SUM(IF("156"&amp;C29=KHC&amp;MH,SL))</f>
        <v>1500</v>
      </c>
      <c r="J29" s="25">
        <f t="array" ref="J29">SUM(IF("156"&amp;C29=KHC&amp;MH,TH))</f>
        <v>19125000</v>
      </c>
      <c r="K29" s="25">
        <f t="shared" si="1"/>
        <v>0</v>
      </c>
      <c r="L29" s="25">
        <f t="shared" si="2"/>
        <v>0</v>
      </c>
      <c r="M29" s="281"/>
    </row>
    <row r="30" spans="1:13" ht="18.75" customHeight="1">
      <c r="A30" s="276" t="s">
        <v>198</v>
      </c>
      <c r="B30" s="671">
        <f t="shared" si="0"/>
        <v>19</v>
      </c>
      <c r="C30" s="186" t="s">
        <v>466</v>
      </c>
      <c r="D30" s="283" t="s">
        <v>290</v>
      </c>
      <c r="E30" s="25"/>
      <c r="F30" s="25"/>
      <c r="G30" s="25">
        <f t="array" ref="G30">SUM(IF("156"&amp;C30=KHN&amp;MH,SL))</f>
        <v>500</v>
      </c>
      <c r="H30" s="25">
        <f t="array" ref="H30">SUM(IF("156"&amp;C30=KHN&amp;MH,TH))</f>
        <v>6097000</v>
      </c>
      <c r="I30" s="25">
        <f t="array" ref="I30">SUM(IF("156"&amp;C30=KHC&amp;MH,SL))</f>
        <v>500</v>
      </c>
      <c r="J30" s="25">
        <f t="array" ref="J30">SUM(IF("156"&amp;C30=KHC&amp;MH,TH))</f>
        <v>6097000</v>
      </c>
      <c r="K30" s="25">
        <f t="shared" si="1"/>
        <v>0</v>
      </c>
      <c r="L30" s="25">
        <f t="shared" si="2"/>
        <v>0</v>
      </c>
      <c r="M30" s="281"/>
    </row>
    <row r="31" spans="1:13" ht="18.75" customHeight="1">
      <c r="A31" s="276" t="s">
        <v>198</v>
      </c>
      <c r="B31" s="671">
        <f t="shared" si="0"/>
        <v>20</v>
      </c>
      <c r="C31" s="183" t="s">
        <v>425</v>
      </c>
      <c r="D31" s="283" t="s">
        <v>290</v>
      </c>
      <c r="E31" s="25"/>
      <c r="F31" s="25"/>
      <c r="G31" s="25">
        <f t="array" ref="G31">SUM(IF("156"&amp;C31=KHN&amp;MH,SL))</f>
        <v>505</v>
      </c>
      <c r="H31" s="25">
        <f t="array" ref="H31">SUM(IF("156"&amp;C31=KHN&amp;MH,TH))</f>
        <v>6122620</v>
      </c>
      <c r="I31" s="25">
        <f t="array" ref="I31">SUM(IF("156"&amp;C31=KHC&amp;MH,SL))</f>
        <v>505</v>
      </c>
      <c r="J31" s="25">
        <f t="array" ref="J31">SUM(IF("156"&amp;C31=KHC&amp;MH,TH))</f>
        <v>6122620</v>
      </c>
      <c r="K31" s="25">
        <f t="shared" si="1"/>
        <v>0</v>
      </c>
      <c r="L31" s="25">
        <f t="shared" si="2"/>
        <v>0</v>
      </c>
      <c r="M31" s="281"/>
    </row>
    <row r="32" spans="1:13" ht="18.75" customHeight="1">
      <c r="A32" s="276" t="s">
        <v>198</v>
      </c>
      <c r="B32" s="671">
        <f t="shared" si="0"/>
        <v>21</v>
      </c>
      <c r="C32" s="186" t="s">
        <v>452</v>
      </c>
      <c r="D32" s="283" t="s">
        <v>290</v>
      </c>
      <c r="E32" s="25"/>
      <c r="F32" s="25"/>
      <c r="G32" s="25">
        <f t="array" ref="G32">SUM(IF("156"&amp;C32=KHN&amp;MH,SL))</f>
        <v>320</v>
      </c>
      <c r="H32" s="25">
        <f t="array" ref="H32">SUM(IF("156"&amp;C32=KHN&amp;MH,TH))</f>
        <v>6115200</v>
      </c>
      <c r="I32" s="25">
        <f t="array" ref="I32">SUM(IF("156"&amp;C32=KHC&amp;MH,SL))</f>
        <v>320</v>
      </c>
      <c r="J32" s="25">
        <f t="array" ref="J32">SUM(IF("156"&amp;C32=KHC&amp;MH,TH))</f>
        <v>6115200</v>
      </c>
      <c r="K32" s="25">
        <f t="shared" si="1"/>
        <v>0</v>
      </c>
      <c r="L32" s="25">
        <f t="shared" si="2"/>
        <v>0</v>
      </c>
      <c r="M32" s="281"/>
    </row>
    <row r="33" spans="1:13" ht="18.75" customHeight="1">
      <c r="A33" s="276" t="s">
        <v>629</v>
      </c>
      <c r="B33" s="671">
        <f t="shared" ref="B33:B57" si="3">IF(C33&lt;&gt;"",ROW()-11,"")</f>
        <v>22</v>
      </c>
      <c r="C33" s="183" t="s">
        <v>537</v>
      </c>
      <c r="D33" s="283" t="s">
        <v>290</v>
      </c>
      <c r="E33" s="25"/>
      <c r="F33" s="25"/>
      <c r="G33" s="25">
        <f t="array" ref="G33">SUM(IF("156"&amp;C33=KHN&amp;MH,SL))</f>
        <v>22750</v>
      </c>
      <c r="H33" s="25">
        <f t="array" ref="H33">SUM(IF("156"&amp;C33=KHN&amp;MH,TH))</f>
        <v>13364731</v>
      </c>
      <c r="I33" s="25">
        <f t="array" ref="I33">SUM(IF("156"&amp;C33=KHC&amp;MH,SL))</f>
        <v>22750</v>
      </c>
      <c r="J33" s="25">
        <f t="array" ref="J33">SUM(IF("156"&amp;C33=KHC&amp;MH,TH))</f>
        <v>13364731</v>
      </c>
      <c r="K33" s="25">
        <f t="shared" ref="K33:K57" si="4">E33+G33-I33</f>
        <v>0</v>
      </c>
      <c r="L33" s="25">
        <f t="shared" ref="L33:L57" si="5">F33+H33-J33</f>
        <v>0</v>
      </c>
      <c r="M33" s="281"/>
    </row>
    <row r="34" spans="1:13" ht="18.75" customHeight="1">
      <c r="A34" s="276" t="s">
        <v>629</v>
      </c>
      <c r="B34" s="671">
        <f t="shared" si="3"/>
        <v>23</v>
      </c>
      <c r="C34" s="183" t="s">
        <v>586</v>
      </c>
      <c r="D34" s="283" t="s">
        <v>331</v>
      </c>
      <c r="E34" s="25"/>
      <c r="F34" s="25"/>
      <c r="G34" s="25">
        <f t="array" ref="G34">SUM(IF("156"&amp;C34=KHN&amp;MH,SL))</f>
        <v>60</v>
      </c>
      <c r="H34" s="25">
        <f t="array" ref="H34">SUM(IF("156"&amp;C34=KHN&amp;MH,TH))</f>
        <v>1157177</v>
      </c>
      <c r="I34" s="25">
        <f t="array" ref="I34">SUM(IF("156"&amp;C34=KHC&amp;MH,SL))</f>
        <v>60</v>
      </c>
      <c r="J34" s="25">
        <f t="array" ref="J34">SUM(IF("156"&amp;C34=KHC&amp;MH,TH))</f>
        <v>1157177</v>
      </c>
      <c r="K34" s="25">
        <f t="shared" si="4"/>
        <v>0</v>
      </c>
      <c r="L34" s="25">
        <f t="shared" si="5"/>
        <v>0</v>
      </c>
      <c r="M34" s="281"/>
    </row>
    <row r="35" spans="1:13" ht="18.75" customHeight="1">
      <c r="A35" s="276" t="s">
        <v>629</v>
      </c>
      <c r="B35" s="671">
        <f t="shared" si="3"/>
        <v>24</v>
      </c>
      <c r="C35" s="183" t="s">
        <v>545</v>
      </c>
      <c r="D35" s="283" t="s">
        <v>331</v>
      </c>
      <c r="E35" s="25"/>
      <c r="F35" s="25"/>
      <c r="G35" s="25">
        <f t="array" ref="G35">SUM(IF("156"&amp;C35=KHN&amp;MH,SL))</f>
        <v>3303</v>
      </c>
      <c r="H35" s="25">
        <f t="array" ref="H35">SUM(IF("156"&amp;C35=KHN&amp;MH,TH))</f>
        <v>14619997</v>
      </c>
      <c r="I35" s="25">
        <f t="array" ref="I35">SUM(IF("156"&amp;C35=KHC&amp;MH,SL))</f>
        <v>3303</v>
      </c>
      <c r="J35" s="25">
        <f t="array" ref="J35">SUM(IF("156"&amp;C35=KHC&amp;MH,TH))</f>
        <v>14619997</v>
      </c>
      <c r="K35" s="25">
        <f t="shared" si="4"/>
        <v>0</v>
      </c>
      <c r="L35" s="25">
        <f t="shared" si="5"/>
        <v>0</v>
      </c>
      <c r="M35" s="281"/>
    </row>
    <row r="36" spans="1:13" ht="18.75" customHeight="1">
      <c r="A36" s="276" t="s">
        <v>629</v>
      </c>
      <c r="B36" s="671">
        <f t="shared" si="3"/>
        <v>25</v>
      </c>
      <c r="C36" s="186" t="s">
        <v>569</v>
      </c>
      <c r="D36" s="283" t="s">
        <v>331</v>
      </c>
      <c r="E36" s="25"/>
      <c r="F36" s="25"/>
      <c r="G36" s="25">
        <f t="array" ref="G36">SUM(IF("156"&amp;C36=KHN&amp;MH,SL))</f>
        <v>800</v>
      </c>
      <c r="H36" s="25">
        <f t="array" ref="H36">SUM(IF("156"&amp;C36=KHN&amp;MH,TH))</f>
        <v>4753823</v>
      </c>
      <c r="I36" s="25">
        <f t="array" ref="I36">SUM(IF("156"&amp;C36=KHC&amp;MH,SL))</f>
        <v>800</v>
      </c>
      <c r="J36" s="25">
        <f t="array" ref="J36">SUM(IF("156"&amp;C36=KHC&amp;MH,TH))</f>
        <v>4753823</v>
      </c>
      <c r="K36" s="25">
        <f t="shared" si="4"/>
        <v>0</v>
      </c>
      <c r="L36" s="25">
        <f t="shared" si="5"/>
        <v>0</v>
      </c>
      <c r="M36" s="281"/>
    </row>
    <row r="37" spans="1:13" ht="18.75" customHeight="1">
      <c r="A37" s="276" t="s">
        <v>629</v>
      </c>
      <c r="B37" s="671">
        <f t="shared" si="3"/>
        <v>26</v>
      </c>
      <c r="C37" s="183" t="s">
        <v>581</v>
      </c>
      <c r="D37" s="283" t="s">
        <v>331</v>
      </c>
      <c r="E37" s="25"/>
      <c r="F37" s="25"/>
      <c r="G37" s="25">
        <f t="array" ref="G37">SUM(IF("156"&amp;C37=KHN&amp;MH,SL))</f>
        <v>100</v>
      </c>
      <c r="H37" s="25">
        <f t="array" ref="H37">SUM(IF("156"&amp;C37=KHN&amp;MH,TH))</f>
        <v>1319628</v>
      </c>
      <c r="I37" s="25">
        <f t="array" ref="I37">SUM(IF("156"&amp;C37=KHC&amp;MH,SL))</f>
        <v>100</v>
      </c>
      <c r="J37" s="25">
        <f t="array" ref="J37">SUM(IF("156"&amp;C37=KHC&amp;MH,TH))</f>
        <v>1319628</v>
      </c>
      <c r="K37" s="25">
        <f t="shared" si="4"/>
        <v>0</v>
      </c>
      <c r="L37" s="25">
        <f t="shared" si="5"/>
        <v>0</v>
      </c>
      <c r="M37" s="281"/>
    </row>
    <row r="38" spans="1:13" ht="18.75" customHeight="1">
      <c r="A38" s="276" t="s">
        <v>629</v>
      </c>
      <c r="B38" s="671">
        <f t="shared" si="3"/>
        <v>27</v>
      </c>
      <c r="C38" s="183" t="s">
        <v>584</v>
      </c>
      <c r="D38" s="283" t="s">
        <v>331</v>
      </c>
      <c r="E38" s="25"/>
      <c r="F38" s="25"/>
      <c r="G38" s="25">
        <f t="array" ref="G38">SUM(IF("156"&amp;C38=KHN&amp;MH,SL))</f>
        <v>40</v>
      </c>
      <c r="H38" s="25">
        <f t="array" ref="H38">SUM(IF("156"&amp;C38=KHN&amp;MH,TH))</f>
        <v>527851</v>
      </c>
      <c r="I38" s="25">
        <f t="array" ref="I38">SUM(IF("156"&amp;C38=KHC&amp;MH,SL))</f>
        <v>40</v>
      </c>
      <c r="J38" s="25">
        <f t="array" ref="J38">SUM(IF("156"&amp;C38=KHC&amp;MH,TH))</f>
        <v>527851</v>
      </c>
      <c r="K38" s="25">
        <f t="shared" si="4"/>
        <v>0</v>
      </c>
      <c r="L38" s="25">
        <f t="shared" si="5"/>
        <v>0</v>
      </c>
      <c r="M38" s="281"/>
    </row>
    <row r="39" spans="1:13" ht="18.75" customHeight="1">
      <c r="A39" s="276" t="s">
        <v>629</v>
      </c>
      <c r="B39" s="671">
        <f t="shared" si="3"/>
        <v>28</v>
      </c>
      <c r="C39" s="183" t="s">
        <v>582</v>
      </c>
      <c r="D39" s="283" t="s">
        <v>331</v>
      </c>
      <c r="E39" s="25"/>
      <c r="F39" s="25"/>
      <c r="G39" s="25">
        <f t="array" ref="G39">SUM(IF("156"&amp;C39=KHN&amp;MH,SL))</f>
        <v>180</v>
      </c>
      <c r="H39" s="25">
        <f t="array" ref="H39">SUM(IF("156"&amp;C39=KHN&amp;MH,TH))</f>
        <v>2375330</v>
      </c>
      <c r="I39" s="25">
        <f t="array" ref="I39">SUM(IF("156"&amp;C39=KHC&amp;MH,SL))</f>
        <v>180</v>
      </c>
      <c r="J39" s="25">
        <f t="array" ref="J39">SUM(IF("156"&amp;C39=KHC&amp;MH,TH))</f>
        <v>2375330</v>
      </c>
      <c r="K39" s="25">
        <f t="shared" si="4"/>
        <v>0</v>
      </c>
      <c r="L39" s="25">
        <f t="shared" si="5"/>
        <v>0</v>
      </c>
      <c r="M39" s="281"/>
    </row>
    <row r="40" spans="1:13" ht="18.75" customHeight="1">
      <c r="A40" s="276" t="s">
        <v>629</v>
      </c>
      <c r="B40" s="671">
        <f t="shared" si="3"/>
        <v>29</v>
      </c>
      <c r="C40" s="186" t="s">
        <v>579</v>
      </c>
      <c r="D40" s="283" t="s">
        <v>331</v>
      </c>
      <c r="E40" s="25"/>
      <c r="F40" s="25"/>
      <c r="G40" s="25">
        <f t="array" ref="G40">SUM(IF("156"&amp;C40=KHN&amp;MH,SL))</f>
        <v>180</v>
      </c>
      <c r="H40" s="25">
        <f t="array" ref="H40">SUM(IF("156"&amp;C40=KHN&amp;MH,TH))</f>
        <v>2375330</v>
      </c>
      <c r="I40" s="25">
        <f t="array" ref="I40">SUM(IF("156"&amp;C40=KHC&amp;MH,SL))</f>
        <v>180</v>
      </c>
      <c r="J40" s="25">
        <f t="array" ref="J40">SUM(IF("156"&amp;C40=KHC&amp;MH,TH))</f>
        <v>2375330</v>
      </c>
      <c r="K40" s="25">
        <f t="shared" si="4"/>
        <v>0</v>
      </c>
      <c r="L40" s="25">
        <f t="shared" si="5"/>
        <v>0</v>
      </c>
      <c r="M40" s="281"/>
    </row>
    <row r="41" spans="1:13" ht="18.75" customHeight="1">
      <c r="A41" s="276" t="s">
        <v>629</v>
      </c>
      <c r="B41" s="671">
        <f t="shared" si="3"/>
        <v>30</v>
      </c>
      <c r="C41" s="186" t="s">
        <v>543</v>
      </c>
      <c r="D41" s="283" t="s">
        <v>331</v>
      </c>
      <c r="E41" s="25"/>
      <c r="F41" s="25"/>
      <c r="G41" s="25">
        <f t="array" ref="G41">SUM(IF("156"&amp;C41=KHN&amp;MH,SL))</f>
        <v>1010</v>
      </c>
      <c r="H41" s="25">
        <f t="array" ref="H41">SUM(IF("156"&amp;C41=KHN&amp;MH,TH))</f>
        <v>6300661</v>
      </c>
      <c r="I41" s="25">
        <f t="array" ref="I41">SUM(IF("156"&amp;C41=KHC&amp;MH,SL))</f>
        <v>1010</v>
      </c>
      <c r="J41" s="25">
        <f t="array" ref="J41">SUM(IF("156"&amp;C41=KHC&amp;MH,TH))</f>
        <v>6300661</v>
      </c>
      <c r="K41" s="25">
        <f t="shared" si="4"/>
        <v>0</v>
      </c>
      <c r="L41" s="25">
        <f t="shared" si="5"/>
        <v>0</v>
      </c>
      <c r="M41" s="281"/>
    </row>
    <row r="42" spans="1:13" ht="18.75" customHeight="1">
      <c r="A42" s="276" t="s">
        <v>629</v>
      </c>
      <c r="B42" s="671">
        <f t="shared" si="3"/>
        <v>31</v>
      </c>
      <c r="C42" s="186" t="s">
        <v>541</v>
      </c>
      <c r="D42" s="283" t="s">
        <v>331</v>
      </c>
      <c r="E42" s="25"/>
      <c r="F42" s="25"/>
      <c r="G42" s="25">
        <f t="array" ref="G42">SUM(IF("156"&amp;C42=KHN&amp;MH,SL))</f>
        <v>3104</v>
      </c>
      <c r="H42" s="25">
        <f t="array" ref="H42">SUM(IF("156"&amp;C42=KHN&amp;MH,TH))</f>
        <v>17126249</v>
      </c>
      <c r="I42" s="25">
        <f t="array" ref="I42">SUM(IF("156"&amp;C42=KHC&amp;MH,SL))</f>
        <v>3104</v>
      </c>
      <c r="J42" s="25">
        <f t="array" ref="J42">SUM(IF("156"&amp;C42=KHC&amp;MH,TH))</f>
        <v>17126249</v>
      </c>
      <c r="K42" s="25">
        <f t="shared" si="4"/>
        <v>0</v>
      </c>
      <c r="L42" s="25">
        <f t="shared" si="5"/>
        <v>0</v>
      </c>
      <c r="M42" s="281"/>
    </row>
    <row r="43" spans="1:13" ht="18.75" customHeight="1">
      <c r="A43" s="276" t="s">
        <v>629</v>
      </c>
      <c r="B43" s="671">
        <f t="shared" si="3"/>
        <v>32</v>
      </c>
      <c r="C43" s="183" t="s">
        <v>549</v>
      </c>
      <c r="D43" s="283" t="s">
        <v>331</v>
      </c>
      <c r="E43" s="25"/>
      <c r="F43" s="25"/>
      <c r="G43" s="25">
        <f t="array" ref="G43">SUM(IF("156"&amp;C43=KHN&amp;MH,SL))</f>
        <v>2820</v>
      </c>
      <c r="H43" s="25">
        <f t="array" ref="H43">SUM(IF("156"&amp;C43=KHN&amp;MH,TH))</f>
        <v>15904864</v>
      </c>
      <c r="I43" s="25">
        <f t="array" ref="I43">SUM(IF("156"&amp;C43=KHC&amp;MH,SL))</f>
        <v>2820</v>
      </c>
      <c r="J43" s="25">
        <f t="array" ref="J43">SUM(IF("156"&amp;C43=KHC&amp;MH,TH))</f>
        <v>15904864</v>
      </c>
      <c r="K43" s="25">
        <f t="shared" si="4"/>
        <v>0</v>
      </c>
      <c r="L43" s="25">
        <f t="shared" si="5"/>
        <v>0</v>
      </c>
      <c r="M43" s="281"/>
    </row>
    <row r="44" spans="1:13" ht="18.75" customHeight="1">
      <c r="A44" s="276" t="s">
        <v>629</v>
      </c>
      <c r="B44" s="671">
        <f t="shared" si="3"/>
        <v>33</v>
      </c>
      <c r="C44" s="186" t="s">
        <v>547</v>
      </c>
      <c r="D44" s="283" t="s">
        <v>331</v>
      </c>
      <c r="E44" s="25"/>
      <c r="F44" s="25"/>
      <c r="G44" s="25">
        <f t="array" ref="G44">SUM(IF("156"&amp;C44=KHN&amp;MH,SL))</f>
        <v>4665</v>
      </c>
      <c r="H44" s="25">
        <f t="array" ref="H44">SUM(IF("156"&amp;C44=KHN&amp;MH,TH))</f>
        <v>25002090</v>
      </c>
      <c r="I44" s="25">
        <f t="array" ref="I44">SUM(IF("156"&amp;C44=KHC&amp;MH,SL))</f>
        <v>4665</v>
      </c>
      <c r="J44" s="25">
        <f t="array" ref="J44">SUM(IF("156"&amp;C44=KHC&amp;MH,TH))</f>
        <v>25002090</v>
      </c>
      <c r="K44" s="25">
        <f t="shared" si="4"/>
        <v>0</v>
      </c>
      <c r="L44" s="25">
        <f t="shared" si="5"/>
        <v>0</v>
      </c>
      <c r="M44" s="281"/>
    </row>
    <row r="45" spans="1:13" ht="18.75" customHeight="1">
      <c r="A45" s="276" t="s">
        <v>629</v>
      </c>
      <c r="B45" s="671">
        <f t="shared" si="3"/>
        <v>34</v>
      </c>
      <c r="C45" s="183" t="s">
        <v>539</v>
      </c>
      <c r="D45" s="283" t="s">
        <v>331</v>
      </c>
      <c r="E45" s="25"/>
      <c r="F45" s="25"/>
      <c r="G45" s="25">
        <f t="array" ref="G45">SUM(IF("156"&amp;C45=KHN&amp;MH,SL))</f>
        <v>1147</v>
      </c>
      <c r="H45" s="25">
        <f t="array" ref="H45">SUM(IF("156"&amp;C45=KHN&amp;MH,TH))</f>
        <v>6543743</v>
      </c>
      <c r="I45" s="25">
        <f t="array" ref="I45">SUM(IF("156"&amp;C45=KHC&amp;MH,SL))</f>
        <v>1147</v>
      </c>
      <c r="J45" s="25">
        <f t="array" ref="J45">SUM(IF("156"&amp;C45=KHC&amp;MH,TH))</f>
        <v>6543743</v>
      </c>
      <c r="K45" s="25">
        <f t="shared" si="4"/>
        <v>0</v>
      </c>
      <c r="L45" s="25">
        <f t="shared" si="5"/>
        <v>0</v>
      </c>
      <c r="M45" s="281"/>
    </row>
    <row r="46" spans="1:13" ht="18.75" customHeight="1">
      <c r="A46" s="276" t="s">
        <v>629</v>
      </c>
      <c r="B46" s="671">
        <f t="shared" si="3"/>
        <v>35</v>
      </c>
      <c r="C46" s="186" t="s">
        <v>544</v>
      </c>
      <c r="D46" s="283" t="s">
        <v>331</v>
      </c>
      <c r="E46" s="25"/>
      <c r="F46" s="25"/>
      <c r="G46" s="25">
        <f t="array" ref="G46">SUM(IF("156"&amp;C46=KHN&amp;MH,SL))</f>
        <v>3175</v>
      </c>
      <c r="H46" s="25">
        <f t="array" ref="H46">SUM(IF("156"&amp;C46=KHN&amp;MH,TH))</f>
        <v>16893851</v>
      </c>
      <c r="I46" s="25">
        <f t="array" ref="I46">SUM(IF("156"&amp;C46=KHC&amp;MH,SL))</f>
        <v>3175</v>
      </c>
      <c r="J46" s="25">
        <f t="array" ref="J46">SUM(IF("156"&amp;C46=KHC&amp;MH,TH))</f>
        <v>16893851</v>
      </c>
      <c r="K46" s="25">
        <f t="shared" si="4"/>
        <v>0</v>
      </c>
      <c r="L46" s="25">
        <f t="shared" si="5"/>
        <v>0</v>
      </c>
      <c r="M46" s="281"/>
    </row>
    <row r="47" spans="1:13" ht="18.75" customHeight="1">
      <c r="A47" s="276" t="s">
        <v>629</v>
      </c>
      <c r="B47" s="671">
        <f t="shared" si="3"/>
        <v>36</v>
      </c>
      <c r="C47" s="183" t="s">
        <v>557</v>
      </c>
      <c r="D47" s="283" t="s">
        <v>331</v>
      </c>
      <c r="E47" s="25"/>
      <c r="F47" s="25"/>
      <c r="G47" s="25">
        <f t="array" ref="G47">SUM(IF("156"&amp;C47=KHN&amp;MH,SL))</f>
        <v>1000</v>
      </c>
      <c r="H47" s="25">
        <f t="array" ref="H47">SUM(IF("156"&amp;C47=KHN&amp;MH,TH))</f>
        <v>6273278</v>
      </c>
      <c r="I47" s="25">
        <f t="array" ref="I47">SUM(IF("156"&amp;C47=KHC&amp;MH,SL))</f>
        <v>1000</v>
      </c>
      <c r="J47" s="25">
        <f t="array" ref="J47">SUM(IF("156"&amp;C47=KHC&amp;MH,TH))</f>
        <v>6273278</v>
      </c>
      <c r="K47" s="25">
        <f t="shared" si="4"/>
        <v>0</v>
      </c>
      <c r="L47" s="25">
        <f t="shared" si="5"/>
        <v>0</v>
      </c>
      <c r="M47" s="281"/>
    </row>
    <row r="48" spans="1:13" ht="18.75" customHeight="1">
      <c r="A48" s="276" t="s">
        <v>629</v>
      </c>
      <c r="B48" s="671">
        <f t="shared" si="3"/>
        <v>37</v>
      </c>
      <c r="C48" s="186" t="s">
        <v>555</v>
      </c>
      <c r="D48" s="283" t="s">
        <v>331</v>
      </c>
      <c r="E48" s="25"/>
      <c r="F48" s="25"/>
      <c r="G48" s="25">
        <f t="array" ref="G48">SUM(IF("156"&amp;C48=KHN&amp;MH,SL))</f>
        <v>1000</v>
      </c>
      <c r="H48" s="25">
        <f t="array" ref="H48">SUM(IF("156"&amp;C48=KHN&amp;MH,TH))</f>
        <v>12495278</v>
      </c>
      <c r="I48" s="25">
        <f t="array" ref="I48">SUM(IF("156"&amp;C48=KHC&amp;MH,SL))</f>
        <v>1000</v>
      </c>
      <c r="J48" s="25">
        <f t="array" ref="J48">SUM(IF("156"&amp;C48=KHC&amp;MH,TH))</f>
        <v>12495278</v>
      </c>
      <c r="K48" s="25">
        <f t="shared" si="4"/>
        <v>0</v>
      </c>
      <c r="L48" s="25">
        <f t="shared" si="5"/>
        <v>0</v>
      </c>
      <c r="M48" s="281"/>
    </row>
    <row r="49" spans="1:13" ht="18.75" customHeight="1">
      <c r="A49" s="276" t="s">
        <v>629</v>
      </c>
      <c r="B49" s="671">
        <f t="shared" si="3"/>
        <v>38</v>
      </c>
      <c r="C49" s="186" t="s">
        <v>575</v>
      </c>
      <c r="D49" s="283" t="s">
        <v>331</v>
      </c>
      <c r="E49" s="25"/>
      <c r="F49" s="25"/>
      <c r="G49" s="25">
        <f t="array" ref="G49">SUM(IF("156"&amp;C49=KHN&amp;MH,SL))</f>
        <v>1000</v>
      </c>
      <c r="H49" s="25">
        <f t="array" ref="H49">SUM(IF("156"&amp;C49=KHN&amp;MH,TH))</f>
        <v>5791650</v>
      </c>
      <c r="I49" s="25">
        <f t="array" ref="I49">SUM(IF("156"&amp;C49=KHC&amp;MH,SL))</f>
        <v>1000</v>
      </c>
      <c r="J49" s="25">
        <f t="array" ref="J49">SUM(IF("156"&amp;C49=KHC&amp;MH,TH))</f>
        <v>5791650</v>
      </c>
      <c r="K49" s="25">
        <f t="shared" si="4"/>
        <v>0</v>
      </c>
      <c r="L49" s="25">
        <f t="shared" si="5"/>
        <v>0</v>
      </c>
      <c r="M49" s="281"/>
    </row>
    <row r="50" spans="1:13" ht="18.75" customHeight="1">
      <c r="A50" s="276" t="s">
        <v>629</v>
      </c>
      <c r="B50" s="671">
        <f t="shared" si="3"/>
        <v>39</v>
      </c>
      <c r="C50" s="186" t="s">
        <v>572</v>
      </c>
      <c r="D50" s="283" t="s">
        <v>331</v>
      </c>
      <c r="E50" s="25"/>
      <c r="F50" s="25"/>
      <c r="G50" s="25">
        <f t="array" ref="G50">SUM(IF("156"&amp;C50=KHN&amp;MH,SL))</f>
        <v>300</v>
      </c>
      <c r="H50" s="25">
        <f t="array" ref="H50">SUM(IF("156"&amp;C50=KHN&amp;MH,TH))</f>
        <v>1587383</v>
      </c>
      <c r="I50" s="25">
        <f t="array" ref="I50">SUM(IF("156"&amp;C50=KHC&amp;MH,SL))</f>
        <v>300</v>
      </c>
      <c r="J50" s="25">
        <f t="array" ref="J50">SUM(IF("156"&amp;C50=KHC&amp;MH,TH))</f>
        <v>1587383</v>
      </c>
      <c r="K50" s="25">
        <f t="shared" si="4"/>
        <v>0</v>
      </c>
      <c r="L50" s="25">
        <f t="shared" si="5"/>
        <v>0</v>
      </c>
      <c r="M50" s="281"/>
    </row>
    <row r="51" spans="1:13" ht="18.75" customHeight="1">
      <c r="A51" s="276" t="s">
        <v>629</v>
      </c>
      <c r="B51" s="671">
        <f t="shared" si="3"/>
        <v>40</v>
      </c>
      <c r="C51" s="38" t="s">
        <v>559</v>
      </c>
      <c r="D51" s="283" t="s">
        <v>331</v>
      </c>
      <c r="E51" s="25"/>
      <c r="F51" s="25"/>
      <c r="G51" s="25">
        <f t="array" ref="G51">SUM(IF("156"&amp;C51=KHN&amp;MH,SL))</f>
        <v>550</v>
      </c>
      <c r="H51" s="25">
        <f t="array" ref="H51">SUM(IF("156"&amp;C51=KHN&amp;MH,TH))</f>
        <v>2449853</v>
      </c>
      <c r="I51" s="25">
        <f t="array" ref="I51">SUM(IF("156"&amp;C51=KHC&amp;MH,SL))</f>
        <v>550</v>
      </c>
      <c r="J51" s="25">
        <f t="array" ref="J51">SUM(IF("156"&amp;C51=KHC&amp;MH,TH))</f>
        <v>2449853</v>
      </c>
      <c r="K51" s="25">
        <f t="shared" si="4"/>
        <v>0</v>
      </c>
      <c r="L51" s="25">
        <f t="shared" si="5"/>
        <v>0</v>
      </c>
      <c r="M51" s="281"/>
    </row>
    <row r="52" spans="1:13" ht="18.75" customHeight="1">
      <c r="A52" s="276" t="s">
        <v>629</v>
      </c>
      <c r="B52" s="671">
        <f t="shared" si="3"/>
        <v>41</v>
      </c>
      <c r="C52" s="183" t="s">
        <v>534</v>
      </c>
      <c r="D52" s="283" t="s">
        <v>331</v>
      </c>
      <c r="E52" s="25"/>
      <c r="F52" s="25"/>
      <c r="G52" s="25">
        <f t="array" ref="G52">SUM(IF("156"&amp;C52=KHN&amp;MH,SL))</f>
        <v>2250</v>
      </c>
      <c r="H52" s="25">
        <f t="array" ref="H52">SUM(IF("156"&amp;C52=KHN&amp;MH,TH))</f>
        <v>10022126</v>
      </c>
      <c r="I52" s="25">
        <f t="array" ref="I52">SUM(IF("156"&amp;C52=KHC&amp;MH,SL))</f>
        <v>2250</v>
      </c>
      <c r="J52" s="25">
        <f t="array" ref="J52">SUM(IF("156"&amp;C52=KHC&amp;MH,TH))</f>
        <v>10022126</v>
      </c>
      <c r="K52" s="25">
        <f t="shared" si="4"/>
        <v>0</v>
      </c>
      <c r="L52" s="25">
        <f t="shared" si="5"/>
        <v>0</v>
      </c>
      <c r="M52" s="281"/>
    </row>
    <row r="53" spans="1:13" ht="18.75" customHeight="1">
      <c r="A53" s="276" t="s">
        <v>629</v>
      </c>
      <c r="B53" s="671">
        <f t="shared" si="3"/>
        <v>42</v>
      </c>
      <c r="C53" s="183" t="s">
        <v>574</v>
      </c>
      <c r="D53" s="283" t="s">
        <v>331</v>
      </c>
      <c r="E53" s="25"/>
      <c r="F53" s="25"/>
      <c r="G53" s="25">
        <f t="array" ref="G53">SUM(IF("156"&amp;C53=KHN&amp;MH,SL))</f>
        <v>500</v>
      </c>
      <c r="H53" s="25">
        <f t="array" ref="H53">SUM(IF("156"&amp;C53=KHN&amp;MH,TH))</f>
        <v>2227139</v>
      </c>
      <c r="I53" s="25">
        <f t="array" ref="I53">SUM(IF("156"&amp;C53=KHC&amp;MH,SL))</f>
        <v>500</v>
      </c>
      <c r="J53" s="25">
        <f t="array" ref="J53">SUM(IF("156"&amp;C53=KHC&amp;MH,TH))</f>
        <v>2227139</v>
      </c>
      <c r="K53" s="25">
        <f t="shared" si="4"/>
        <v>0</v>
      </c>
      <c r="L53" s="25">
        <f t="shared" si="5"/>
        <v>0</v>
      </c>
      <c r="M53" s="281"/>
    </row>
    <row r="54" spans="1:13" ht="18.75" customHeight="1">
      <c r="A54" s="276" t="s">
        <v>629</v>
      </c>
      <c r="B54" s="671">
        <f t="shared" si="3"/>
        <v>43</v>
      </c>
      <c r="C54" s="183" t="s">
        <v>550</v>
      </c>
      <c r="D54" s="283" t="s">
        <v>331</v>
      </c>
      <c r="E54" s="25"/>
      <c r="F54" s="25"/>
      <c r="G54" s="25">
        <f t="array" ref="G54">SUM(IF("156"&amp;C54=KHN&amp;MH,SL))</f>
        <v>2000</v>
      </c>
      <c r="H54" s="25">
        <f t="array" ref="H54">SUM(IF("156"&amp;C54=KHN&amp;MH,TH))</f>
        <v>11974556</v>
      </c>
      <c r="I54" s="25">
        <f t="array" ref="I54">SUM(IF("156"&amp;C54=KHC&amp;MH,SL))</f>
        <v>2000</v>
      </c>
      <c r="J54" s="25">
        <f t="array" ref="J54">SUM(IF("156"&amp;C54=KHC&amp;MH,TH))</f>
        <v>11974556</v>
      </c>
      <c r="K54" s="25">
        <f t="shared" si="4"/>
        <v>0</v>
      </c>
      <c r="L54" s="25">
        <f t="shared" si="5"/>
        <v>0</v>
      </c>
      <c r="M54" s="281"/>
    </row>
    <row r="55" spans="1:13" ht="18.75" customHeight="1">
      <c r="A55" s="276" t="s">
        <v>629</v>
      </c>
      <c r="B55" s="671">
        <f t="shared" si="3"/>
        <v>44</v>
      </c>
      <c r="C55" s="186" t="s">
        <v>573</v>
      </c>
      <c r="D55" s="283" t="s">
        <v>331</v>
      </c>
      <c r="E55" s="25"/>
      <c r="F55" s="25"/>
      <c r="G55" s="25">
        <f t="array" ref="G55">SUM(IF("156"&amp;C55=KHN&amp;MH,SL))</f>
        <v>350</v>
      </c>
      <c r="H55" s="25">
        <f t="array" ref="H55">SUM(IF("156"&amp;C55=KHN&amp;MH,TH))</f>
        <v>1907247</v>
      </c>
      <c r="I55" s="25">
        <f t="array" ref="I55">SUM(IF("156"&amp;C55=KHC&amp;MH,SL))</f>
        <v>350</v>
      </c>
      <c r="J55" s="25">
        <f t="array" ref="J55">SUM(IF("156"&amp;C55=KHC&amp;MH,TH))</f>
        <v>1907247</v>
      </c>
      <c r="K55" s="25">
        <f t="shared" si="4"/>
        <v>0</v>
      </c>
      <c r="L55" s="25">
        <f t="shared" si="5"/>
        <v>0</v>
      </c>
      <c r="M55" s="281"/>
    </row>
    <row r="56" spans="1:13" ht="18.75" customHeight="1">
      <c r="A56" s="276" t="s">
        <v>629</v>
      </c>
      <c r="B56" s="671">
        <f t="shared" si="3"/>
        <v>45</v>
      </c>
      <c r="C56" s="38" t="s">
        <v>583</v>
      </c>
      <c r="D56" s="283" t="s">
        <v>331</v>
      </c>
      <c r="E56" s="25"/>
      <c r="F56" s="25"/>
      <c r="G56" s="25">
        <f t="array" ref="G56">SUM(IF("156"&amp;C56=KHN&amp;MH,SL))</f>
        <v>260</v>
      </c>
      <c r="H56" s="25">
        <f t="array" ref="H56">SUM(IF("156"&amp;C56=KHN&amp;MH,TH))</f>
        <v>5014432</v>
      </c>
      <c r="I56" s="25">
        <f t="array" ref="I56">SUM(IF("156"&amp;C56=KHC&amp;MH,SL))</f>
        <v>260</v>
      </c>
      <c r="J56" s="25">
        <f t="array" ref="J56">SUM(IF("156"&amp;C56=KHC&amp;MH,TH))</f>
        <v>5014432</v>
      </c>
      <c r="K56" s="25">
        <f t="shared" si="4"/>
        <v>0</v>
      </c>
      <c r="L56" s="25">
        <f t="shared" si="5"/>
        <v>0</v>
      </c>
      <c r="M56" s="281"/>
    </row>
    <row r="57" spans="1:13" ht="18.75" customHeight="1">
      <c r="A57" s="276" t="s">
        <v>629</v>
      </c>
      <c r="B57" s="671">
        <f t="shared" si="3"/>
        <v>46</v>
      </c>
      <c r="C57" s="183" t="s">
        <v>562</v>
      </c>
      <c r="D57" s="283" t="s">
        <v>331</v>
      </c>
      <c r="E57" s="25"/>
      <c r="F57" s="25"/>
      <c r="G57" s="25">
        <f t="array" ref="G57">SUM(IF("156"&amp;C57=KHN&amp;MH,SL))</f>
        <v>500</v>
      </c>
      <c r="H57" s="25">
        <f t="array" ref="H57">SUM(IF("156"&amp;C57=KHN&amp;MH,TH))</f>
        <v>5231139</v>
      </c>
      <c r="I57" s="25">
        <f t="array" ref="I57">SUM(IF("156"&amp;C57=KHC&amp;MH,SL))</f>
        <v>500</v>
      </c>
      <c r="J57" s="25">
        <f t="array" ref="J57">SUM(IF("156"&amp;C57=KHC&amp;MH,TH))</f>
        <v>5231139</v>
      </c>
      <c r="K57" s="25">
        <f t="shared" si="4"/>
        <v>0</v>
      </c>
      <c r="L57" s="25">
        <f t="shared" si="5"/>
        <v>0</v>
      </c>
      <c r="M57" s="281"/>
    </row>
    <row r="58" spans="1:13" ht="19.5" customHeight="1">
      <c r="B58" s="671" t="str">
        <f t="shared" ref="B58" si="6">IF(C58&lt;&gt;"",ROW()-11,"")</f>
        <v/>
      </c>
      <c r="C58" s="282"/>
      <c r="D58" s="283"/>
      <c r="E58" s="25"/>
      <c r="F58" s="25"/>
      <c r="G58" s="25"/>
      <c r="H58" s="25"/>
      <c r="I58" s="25"/>
      <c r="J58" s="25"/>
      <c r="K58" s="25"/>
      <c r="L58" s="25"/>
      <c r="M58" s="281"/>
    </row>
    <row r="59" spans="1:13" ht="19.5" customHeight="1">
      <c r="B59" s="280"/>
      <c r="C59" s="285" t="s">
        <v>274</v>
      </c>
      <c r="D59" s="280"/>
      <c r="E59" s="13">
        <f t="shared" ref="E59:L59" si="7">SUM(E12:E58)</f>
        <v>0</v>
      </c>
      <c r="F59" s="13">
        <f t="shared" si="7"/>
        <v>0</v>
      </c>
      <c r="G59" s="13">
        <f t="shared" si="7"/>
        <v>70456</v>
      </c>
      <c r="H59" s="13">
        <f t="shared" si="7"/>
        <v>385996108</v>
      </c>
      <c r="I59" s="13">
        <f t="shared" si="7"/>
        <v>69613</v>
      </c>
      <c r="J59" s="13">
        <f t="shared" si="7"/>
        <v>377128312</v>
      </c>
      <c r="K59" s="13">
        <f t="shared" si="7"/>
        <v>843</v>
      </c>
      <c r="L59" s="13">
        <f t="shared" si="7"/>
        <v>8867796</v>
      </c>
      <c r="M59" s="281"/>
    </row>
    <row r="60" spans="1:13" ht="19.5" customHeight="1">
      <c r="B60" s="460"/>
      <c r="C60" s="461"/>
      <c r="D60" s="460"/>
      <c r="E60" s="462">
        <f>F59-F60</f>
        <v>0</v>
      </c>
      <c r="F60" s="462">
        <f>CDPS!D20</f>
        <v>0</v>
      </c>
      <c r="G60" s="462">
        <f>H59-H60</f>
        <v>0</v>
      </c>
      <c r="H60" s="462">
        <f>CDPS!E20</f>
        <v>385996108</v>
      </c>
      <c r="I60" s="462">
        <f>J59-J60</f>
        <v>0</v>
      </c>
      <c r="J60" s="462">
        <f>CDPS!F20</f>
        <v>377128312</v>
      </c>
      <c r="K60" s="462">
        <f>L59-L60</f>
        <v>0</v>
      </c>
      <c r="L60" s="462">
        <f>CDPS!G20</f>
        <v>8867796</v>
      </c>
      <c r="M60" s="281"/>
    </row>
    <row r="61" spans="1:13" ht="18.75" customHeight="1"/>
    <row r="62" spans="1:13" ht="19.5" customHeight="1"/>
    <row r="63" spans="1:13" ht="19.5" customHeight="1">
      <c r="C63" s="816"/>
      <c r="D63" s="816"/>
      <c r="E63" s="816"/>
      <c r="F63" s="716"/>
      <c r="G63" s="716"/>
      <c r="H63" s="716"/>
      <c r="I63" s="716"/>
      <c r="J63" s="816" t="s">
        <v>344</v>
      </c>
      <c r="K63" s="816"/>
      <c r="L63" s="816"/>
    </row>
    <row r="64" spans="1:13" ht="19.5" customHeight="1">
      <c r="C64" s="717"/>
      <c r="D64" s="717"/>
      <c r="E64" s="717"/>
      <c r="F64" s="816"/>
      <c r="G64" s="816"/>
      <c r="H64" s="816"/>
      <c r="I64" s="716"/>
      <c r="J64" s="816" t="s">
        <v>109</v>
      </c>
      <c r="K64" s="816"/>
      <c r="L64" s="816"/>
    </row>
    <row r="65" spans="3:12" ht="19.5" customHeight="1">
      <c r="C65" s="717"/>
      <c r="D65" s="717"/>
      <c r="E65" s="717"/>
      <c r="F65" s="816"/>
      <c r="G65" s="816"/>
      <c r="H65" s="816"/>
      <c r="I65" s="276"/>
      <c r="J65" s="816" t="s">
        <v>136</v>
      </c>
      <c r="K65" s="816"/>
      <c r="L65" s="816"/>
    </row>
    <row r="66" spans="3:12" ht="20.25" customHeight="1"/>
    <row r="67" spans="3:12" ht="20.25" customHeight="1"/>
    <row r="68" spans="3:12" ht="20.25" customHeight="1"/>
    <row r="69" spans="3:12" ht="20.25" customHeight="1"/>
    <row r="70" spans="3:12" ht="20.25" customHeight="1"/>
    <row r="71" spans="3:12" ht="20.25" customHeight="1"/>
    <row r="72" spans="3:12" ht="20.25" customHeight="1"/>
    <row r="73" spans="3:12" ht="19.5" customHeight="1"/>
    <row r="74" spans="3:12" ht="19.5" customHeight="1"/>
    <row r="75" spans="3:12" ht="19.5" customHeight="1"/>
    <row r="76" spans="3:12" ht="19.5" customHeight="1"/>
    <row r="77" spans="3:12" ht="19.5" customHeight="1"/>
    <row r="78" spans="3:12" ht="19.5" customHeight="1"/>
    <row r="79" spans="3:12" ht="19.5" customHeight="1"/>
    <row r="80" spans="3:12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</sheetData>
  <autoFilter ref="B11:N60"/>
  <sortState ref="B33:O72">
    <sortCondition ref="C33:C72"/>
  </sortState>
  <mergeCells count="20">
    <mergeCell ref="C7:L7"/>
    <mergeCell ref="F65:H65"/>
    <mergeCell ref="J65:L65"/>
    <mergeCell ref="C63:E63"/>
    <mergeCell ref="J63:L63"/>
    <mergeCell ref="F64:H64"/>
    <mergeCell ref="J64:L64"/>
    <mergeCell ref="B8:B10"/>
    <mergeCell ref="C8:C10"/>
    <mergeCell ref="D8:D9"/>
    <mergeCell ref="E8:L8"/>
    <mergeCell ref="E9:F9"/>
    <mergeCell ref="G9:H9"/>
    <mergeCell ref="I9:J9"/>
    <mergeCell ref="K9:L9"/>
    <mergeCell ref="B6:L6"/>
    <mergeCell ref="H1:L1"/>
    <mergeCell ref="B4:L4"/>
    <mergeCell ref="B5:L5"/>
    <mergeCell ref="H2:L3"/>
  </mergeCells>
  <printOptions horizontalCentered="1"/>
  <pageMargins left="0.1" right="0.6" top="0.2" bottom="0.3" header="0" footer="0"/>
  <pageSetup paperSize="9" scale="85" orientation="portrait" r:id="rId1"/>
  <headerFooter alignWithMargins="0">
    <oddFooter>&amp;RTrang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K23" sqref="K23"/>
    </sheetView>
  </sheetViews>
  <sheetFormatPr defaultRowHeight="12"/>
  <cols>
    <col min="1" max="1" width="4.7109375" style="289" customWidth="1"/>
    <col min="2" max="2" width="29.7109375" style="289" customWidth="1"/>
    <col min="3" max="3" width="5.7109375" style="289" customWidth="1"/>
    <col min="4" max="4" width="6.7109375" style="289" customWidth="1"/>
    <col min="5" max="5" width="12.7109375" style="289" customWidth="1"/>
    <col min="6" max="6" width="9.85546875" style="289" customWidth="1"/>
    <col min="7" max="7" width="11" style="289" customWidth="1"/>
    <col min="8" max="8" width="14" style="289" customWidth="1"/>
    <col min="9" max="9" width="4.28515625" style="289" customWidth="1"/>
    <col min="10" max="10" width="7.5703125" style="289" customWidth="1"/>
    <col min="11" max="11" width="3.140625" style="289" customWidth="1"/>
    <col min="12" max="12" width="5.7109375" style="289" customWidth="1"/>
    <col min="13" max="13" width="2.7109375" style="289" customWidth="1"/>
    <col min="14" max="14" width="4" style="289" customWidth="1"/>
    <col min="15" max="15" width="3.7109375" style="289" customWidth="1"/>
    <col min="16" max="16384" width="9.140625" style="289"/>
  </cols>
  <sheetData>
    <row r="1" spans="1:17" ht="5.25" hidden="1" customHeight="1"/>
    <row r="2" spans="1:17" s="567" customFormat="1" ht="12" customHeight="1">
      <c r="A2" s="566" t="str">
        <f>TH!A1</f>
        <v>Đơn vị: CÔNG TY TNHH MỘT THÀNH VIÊN KHỞI NGUYÊN AN</v>
      </c>
      <c r="G2" s="568" t="str">
        <f>+IF(LEFT($D$7,1)="N","Mẫu số 01 - VT","Mẫu số 02 - VT")</f>
        <v>Mẫu số 02 - VT</v>
      </c>
    </row>
    <row r="3" spans="1:17" s="567" customFormat="1" ht="12" customHeight="1">
      <c r="A3" s="857" t="str">
        <f>TH!A2</f>
        <v>Địa chỉ: Thửa đất số 144, tờ bản đồ số 12TĐH.1, tổ 1, khu phố Đông Tác, Phường Tân Đông Hiệp, Thị Xã Dĩ An, Tỉnh Bình Dương, Việt Nam</v>
      </c>
      <c r="B3" s="857"/>
      <c r="C3" s="857"/>
      <c r="D3" s="857"/>
      <c r="E3" s="857"/>
      <c r="G3" s="68" t="str">
        <f ca="1">IF(INT(RIGHT($D$6,4))&gt;=2015,"(Ban hành theo Thông tư số 200/2014/TT-BTC ","(Ban hành kèm theo QĐ 48/2006/QĐ-BTC")</f>
        <v>(Ban hành kèm theo QĐ 48/2006/QĐ-BTC</v>
      </c>
      <c r="N3" s="568" t="s">
        <v>104</v>
      </c>
      <c r="O3" s="569"/>
      <c r="P3" s="570">
        <f>IF(J5="Quý I",1,IF(J5="Quý II",4,IF(J5="Quý III",7,IF(J5="Quý IV",10,""))))</f>
        <v>7</v>
      </c>
      <c r="Q3" s="570">
        <f>IF(J5="Quý I",3,IF(J5="Quý II",6,IF(J5="Quý III",9,IF(J5="Quý IV",12,""))))</f>
        <v>9</v>
      </c>
    </row>
    <row r="4" spans="1:17" s="567" customFormat="1" ht="12" customHeight="1" thickBot="1">
      <c r="A4" s="857"/>
      <c r="B4" s="857"/>
      <c r="C4" s="857"/>
      <c r="D4" s="857"/>
      <c r="E4" s="857"/>
      <c r="G4" s="68" t="str">
        <f ca="1">IF(INT(RIGHT($D$6,4))&gt;=2015,"Ngày 22/12/2014 của Bộ Tài chính)","ngày 24/09/2006 của Bộ trưởng BTC)")</f>
        <v>ngày 24/09/2006 của Bộ trưởng BTC)</v>
      </c>
      <c r="J4" s="571"/>
      <c r="M4" s="572"/>
      <c r="N4" s="568" t="s">
        <v>105</v>
      </c>
      <c r="O4" s="569"/>
    </row>
    <row r="5" spans="1:17" ht="18" customHeight="1" thickBot="1">
      <c r="D5" s="293" t="str">
        <f>+IF(LEFT($L$5,1)="N","PHIẾU NHẬP KHO","PHIẾU XUẤT KHO")</f>
        <v>PHIẾU XUẤT KHO</v>
      </c>
      <c r="J5" s="563" t="s">
        <v>335</v>
      </c>
      <c r="K5" s="294"/>
      <c r="L5" s="564" t="s">
        <v>594</v>
      </c>
      <c r="M5" s="295"/>
      <c r="N5" s="565">
        <v>1</v>
      </c>
      <c r="O5" s="290"/>
      <c r="P5" s="290"/>
    </row>
    <row r="6" spans="1:17" ht="10.5" customHeight="1">
      <c r="D6" s="574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15  tháng  9  năm  2012</v>
      </c>
      <c r="E6" s="575"/>
      <c r="M6" s="292"/>
      <c r="O6" s="290"/>
    </row>
    <row r="7" spans="1:17" ht="10.5" customHeight="1">
      <c r="C7" s="576" t="str">
        <f xml:space="preserve"> "Số:"</f>
        <v>Số:</v>
      </c>
      <c r="D7" s="577" t="str">
        <f xml:space="preserve"> LEFT($L$5,1)&amp;IF($N$5&gt;=10,$N$5,"0"&amp;$N$5)</f>
        <v>X01</v>
      </c>
      <c r="G7" s="289" t="str">
        <f ca="1">"Nợ:  "&amp;IF(ROWS($1:1)&gt;COUNT(Dong10),"",OFFSET(TH!L$1,SMALL(Dong10,ROWS($1:1)),))</f>
        <v>Nợ:  131</v>
      </c>
      <c r="M7" s="292"/>
      <c r="O7" s="290"/>
    </row>
    <row r="8" spans="1:17" ht="10.5" customHeight="1">
      <c r="D8" s="68"/>
      <c r="G8" s="289" t="str">
        <f ca="1">"Có:  "&amp;IF(ROWS($1:1)&gt;COUNT(Dong10),"",OFFSET(TH!M$1,SMALL(Dong10,ROWS($1:1)),))</f>
        <v>Có:  5112</v>
      </c>
      <c r="M8" s="292"/>
      <c r="O8" s="578"/>
    </row>
    <row r="9" spans="1:17" ht="11.25" customHeight="1">
      <c r="A9" s="289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Cty TNHH SX Vạn Phú                                         Địa chỉ (bộ phận) :     Sản Xuất </v>
      </c>
      <c r="M9" s="292"/>
    </row>
    <row r="10" spans="1:17" ht="11.25" customHeight="1">
      <c r="A10" s="289" t="str">
        <f>+IF(LEFT($D$7,1)="N","Theo……………………………………....…………..số………….…………….……ngày……...tháng…......năm……....",IF(LEFT($D$7,1)="X","Lý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289" t="str">
        <f>+IF(LEFT($D$7,1)="N","của………………………………………………………………………………………………………………………………....","Xuất tại kho (ngăn lô) : CÔNG TY TNHH MỘT THÀNH VIÊN KHỞI NGUYÊN AN    Địa điểm :  Thị Xã Dĩ An, Tỉnh Bình Dương.")</f>
        <v>Xuất tại kho (ngăn lô) : CÔNG TY TNHH MỘT THÀNH VIÊN KHỞI NGUYÊN AN    Địa điểm :  Thị Xã Dĩ An, Tỉnh Bình Dương.</v>
      </c>
    </row>
    <row r="12" spans="1:17" ht="11.25" customHeight="1">
      <c r="A12" s="289" t="str">
        <f>+IF(MID($D$7,4,1)="N","Nhập tại kho:       Công ty TNHH SX TM Kim Dung Phát                     Địa điểm:  Bình Chánh, TPHCM."," ")</f>
        <v xml:space="preserve"> </v>
      </c>
    </row>
    <row r="13" spans="1:17" ht="2.25" customHeight="1"/>
    <row r="14" spans="1:17" ht="11.25" customHeight="1">
      <c r="A14" s="858" t="s">
        <v>35</v>
      </c>
      <c r="B14" s="858" t="s">
        <v>189</v>
      </c>
      <c r="C14" s="858" t="s">
        <v>190</v>
      </c>
      <c r="D14" s="858" t="s">
        <v>182</v>
      </c>
      <c r="E14" s="860" t="s">
        <v>191</v>
      </c>
      <c r="F14" s="860"/>
      <c r="G14" s="858" t="s">
        <v>192</v>
      </c>
      <c r="H14" s="858" t="s">
        <v>193</v>
      </c>
    </row>
    <row r="15" spans="1:17" ht="12.75" customHeight="1">
      <c r="A15" s="859"/>
      <c r="B15" s="859"/>
      <c r="C15" s="859"/>
      <c r="D15" s="859"/>
      <c r="E15" s="579" t="s">
        <v>194</v>
      </c>
      <c r="F15" s="579" t="str">
        <f>IF(LEFT($D$7,1)="N","Thực nhập","Thực xuất")</f>
        <v>Thực xuất</v>
      </c>
      <c r="G15" s="859"/>
      <c r="H15" s="859"/>
    </row>
    <row r="16" spans="1:17" s="68" customFormat="1" ht="8.25" customHeight="1">
      <c r="A16" s="580" t="s">
        <v>2</v>
      </c>
      <c r="B16" s="580" t="s">
        <v>3</v>
      </c>
      <c r="C16" s="580" t="s">
        <v>4</v>
      </c>
      <c r="D16" s="580" t="s">
        <v>5</v>
      </c>
      <c r="E16" s="580">
        <v>1</v>
      </c>
      <c r="F16" s="580">
        <v>2</v>
      </c>
      <c r="G16" s="580">
        <v>3</v>
      </c>
      <c r="H16" s="580">
        <v>4</v>
      </c>
    </row>
    <row r="17" spans="1:8" ht="11.25" customHeight="1">
      <c r="A17" s="581">
        <f ca="1">IF(B17="","",ROW()-16)</f>
        <v>1</v>
      </c>
      <c r="B17" s="582" t="str">
        <f ca="1">IF(ROWS($1:1)&gt;COUNT(Dong10),"",OFFSET(TH!F$1,SMALL(Dong10,ROWS($1:1)),))</f>
        <v>Thùng carton (52x27x27)</v>
      </c>
      <c r="C17" s="583"/>
      <c r="D17" s="584" t="str">
        <f ca="1">IF(ISNA(VLOOKUP(B17,NXT!$C$12:$D$60,2,0)),"",VLOOKUP(B17,NXT!$C$12:$D$60,2,0))</f>
        <v>cái</v>
      </c>
      <c r="E17" s="585"/>
      <c r="F17" s="586">
        <f ca="1">IF(ROWS($1:1)&gt;COUNT(Dong10),"",OFFSET(TH!I$1,SMALL(Dong10,ROWS($1:1)),))</f>
        <v>1200</v>
      </c>
      <c r="G17" s="586">
        <f ca="1">IF(ROWS($1:1)&gt;COUNT(Dong10),"",OFFSET(TH!J$1,SMALL(Dong10,ROWS($1:1)),))</f>
        <v>6780</v>
      </c>
      <c r="H17" s="585">
        <f ca="1">IF(F17&lt;&gt;"",ROUND(F17*G17,0),0)</f>
        <v>8136000</v>
      </c>
    </row>
    <row r="18" spans="1:8" ht="11.25" customHeight="1">
      <c r="A18" s="581">
        <f t="shared" ref="A18:A20" ca="1" si="0">IF(B18="","",A17+1)</f>
        <v>2</v>
      </c>
      <c r="B18" s="582" t="str">
        <f ca="1">IF(ROWS($1:2)&gt;COUNT(Dong10),"",OFFSET(TH!F$1,SMALL(Dong10,ROWS($1:2)),))</f>
        <v>Tấm lót</v>
      </c>
      <c r="C18" s="583"/>
      <c r="D18" s="584" t="str">
        <f ca="1">IF(ISNA(VLOOKUP(B18,NXT!$C$12:$D$60,2,0)),"",VLOOKUP(B18,NXT!$C$12:$D$60,2,0))</f>
        <v>tấm</v>
      </c>
      <c r="E18" s="585"/>
      <c r="F18" s="586">
        <f ca="1">IF(ROWS($1:2)&gt;COUNT(Dong10),"",OFFSET(TH!I$1,SMALL(Dong10,ROWS($1:2)),))</f>
        <v>11700</v>
      </c>
      <c r="G18" s="586">
        <f ca="1">IF(ROWS($1:2)&gt;COUNT(Dong10),"",OFFSET(TH!J$1,SMALL(Dong10,ROWS($1:2)),))</f>
        <v>900</v>
      </c>
      <c r="H18" s="585">
        <f t="shared" ref="H18:H24" ca="1" si="1">IF(F18&lt;&gt;"",ROUND(F18*G18,0),0)</f>
        <v>10530000</v>
      </c>
    </row>
    <row r="19" spans="1:8" ht="11.25" customHeight="1">
      <c r="A19" s="581" t="str">
        <f t="shared" ca="1" si="0"/>
        <v/>
      </c>
      <c r="B19" s="582" t="str">
        <f ca="1">IF(ROWS($1:3)&gt;COUNT(Dong10),"",OFFSET(TH!F$1,SMALL(Dong10,ROWS($1:3)),))</f>
        <v/>
      </c>
      <c r="C19" s="583"/>
      <c r="D19" s="584" t="str">
        <f ca="1">IF(ISNA(VLOOKUP(B19,NXT!$C$12:$D$60,2,0)),"",VLOOKUP(B19,NXT!$C$12:$D$60,2,0))</f>
        <v/>
      </c>
      <c r="E19" s="585"/>
      <c r="F19" s="586" t="str">
        <f ca="1">IF(ROWS($1:3)&gt;COUNT(Dong10),"",OFFSET(TH!I$1,SMALL(Dong10,ROWS($1:3)),))</f>
        <v/>
      </c>
      <c r="G19" s="586" t="str">
        <f ca="1">IF(ROWS($1:3)&gt;COUNT(Dong10),"",OFFSET(TH!J$1,SMALL(Dong10,ROWS($1:3)),))</f>
        <v/>
      </c>
      <c r="H19" s="585">
        <f t="shared" ca="1" si="1"/>
        <v>0</v>
      </c>
    </row>
    <row r="20" spans="1:8" ht="11.25" customHeight="1">
      <c r="A20" s="581" t="str">
        <f t="shared" ca="1" si="0"/>
        <v/>
      </c>
      <c r="B20" s="582" t="str">
        <f ca="1">IF(ROWS($1:4)&gt;COUNT(Dong10),"",OFFSET(TH!F$1,SMALL(Dong10,ROWS($1:4)),))</f>
        <v/>
      </c>
      <c r="C20" s="583"/>
      <c r="D20" s="584" t="str">
        <f ca="1">IF(ISNA(VLOOKUP(B20,NXT!$C$12:$D$60,2,0)),"",VLOOKUP(B20,NXT!$C$12:$D$60,2,0))</f>
        <v/>
      </c>
      <c r="E20" s="585"/>
      <c r="F20" s="586" t="str">
        <f ca="1">IF(ROWS($1:4)&gt;COUNT(Dong10),"",OFFSET(TH!I$1,SMALL(Dong10,ROWS($1:4)),))</f>
        <v/>
      </c>
      <c r="G20" s="586" t="str">
        <f ca="1">IF(ROWS($1:4)&gt;COUNT(Dong10),"",OFFSET(TH!J$1,SMALL(Dong10,ROWS($1:4)),))</f>
        <v/>
      </c>
      <c r="H20" s="585">
        <f t="shared" ca="1" si="1"/>
        <v>0</v>
      </c>
    </row>
    <row r="21" spans="1:8" ht="11.25" customHeight="1">
      <c r="A21" s="581" t="str">
        <f t="shared" ref="A21:A23" ca="1" si="2">IF(B21="","",A20+1)</f>
        <v/>
      </c>
      <c r="B21" s="582" t="str">
        <f ca="1">IF(ROWS($1:5)&gt;COUNT(Dong10),"",OFFSET(TH!F$1,SMALL(Dong10,ROWS($1:5)),))</f>
        <v/>
      </c>
      <c r="C21" s="583"/>
      <c r="D21" s="584" t="str">
        <f ca="1">IF(ISNA(VLOOKUP(B21,NXT!$C$12:$D$60,2,0)),"",VLOOKUP(B21,NXT!$C$12:$D$60,2,0))</f>
        <v/>
      </c>
      <c r="E21" s="585"/>
      <c r="F21" s="586" t="str">
        <f ca="1">IF(ROWS($1:5)&gt;COUNT(Dong10),"",OFFSET(TH!I$1,SMALL(Dong10,ROWS($1:5)),))</f>
        <v/>
      </c>
      <c r="G21" s="586" t="str">
        <f ca="1">IF(ROWS($1:5)&gt;COUNT(Dong10),"",OFFSET(TH!J$1,SMALL(Dong10,ROWS($1:5)),))</f>
        <v/>
      </c>
      <c r="H21" s="585">
        <f t="shared" ca="1" si="1"/>
        <v>0</v>
      </c>
    </row>
    <row r="22" spans="1:8" ht="11.25" customHeight="1">
      <c r="A22" s="581" t="str">
        <f t="shared" ca="1" si="2"/>
        <v/>
      </c>
      <c r="B22" s="582" t="str">
        <f ca="1">IF(ROWS($1:6)&gt;COUNT(Dong10),"",OFFSET(TH!F$1,SMALL(Dong10,ROWS($1:6)),))</f>
        <v/>
      </c>
      <c r="C22" s="583"/>
      <c r="D22" s="584" t="str">
        <f ca="1">IF(ISNA(VLOOKUP(B22,NXT!$C$12:$D$60,2,0)),"",VLOOKUP(B22,NXT!$C$12:$D$60,2,0))</f>
        <v/>
      </c>
      <c r="E22" s="585"/>
      <c r="F22" s="586" t="str">
        <f ca="1">IF(ROWS($1:6)&gt;COUNT(Dong10),"",OFFSET(TH!I$1,SMALL(Dong10,ROWS($1:6)),))</f>
        <v/>
      </c>
      <c r="G22" s="586" t="str">
        <f ca="1">IF(ROWS($1:6)&gt;COUNT(Dong10),"",OFFSET(TH!J$1,SMALL(Dong10,ROWS($1:6)),))</f>
        <v/>
      </c>
      <c r="H22" s="585">
        <f t="shared" ca="1" si="1"/>
        <v>0</v>
      </c>
    </row>
    <row r="23" spans="1:8" ht="11.25" customHeight="1">
      <c r="A23" s="581" t="str">
        <f t="shared" ca="1" si="2"/>
        <v/>
      </c>
      <c r="B23" s="582" t="str">
        <f ca="1">IF(ROWS($1:7)&gt;COUNT(Dong10),"",OFFSET(TH!F$1,SMALL(Dong10,ROWS($1:7)),))</f>
        <v/>
      </c>
      <c r="C23" s="583"/>
      <c r="D23" s="584" t="str">
        <f ca="1">IF(ISNA(VLOOKUP(B23,NXT!$C$12:$D$60,2,0)),"",VLOOKUP(B23,NXT!$C$12:$D$60,2,0))</f>
        <v/>
      </c>
      <c r="E23" s="585"/>
      <c r="F23" s="586" t="str">
        <f ca="1">IF(ROWS($1:7)&gt;COUNT(Dong10),"",OFFSET(TH!I$1,SMALL(Dong10,ROWS($1:7)),))</f>
        <v/>
      </c>
      <c r="G23" s="586" t="str">
        <f ca="1">IF(ROWS($1:7)&gt;COUNT(Dong10),"",OFFSET(TH!J$1,SMALL(Dong10,ROWS($1:7)),))</f>
        <v/>
      </c>
      <c r="H23" s="585">
        <f t="shared" ca="1" si="1"/>
        <v>0</v>
      </c>
    </row>
    <row r="24" spans="1:8" ht="11.25" customHeight="1">
      <c r="A24" s="581" t="str">
        <f t="shared" ref="A24" ca="1" si="3">IF(B24="","",A23+1)</f>
        <v/>
      </c>
      <c r="B24" s="582" t="str">
        <f ca="1">IF(ROWS($1:8)&gt;COUNT(Dong10),"",OFFSET(TH!F$1,SMALL(Dong10,ROWS($1:8)),))</f>
        <v/>
      </c>
      <c r="C24" s="583"/>
      <c r="D24" s="584" t="str">
        <f ca="1">IF(ISNA(VLOOKUP(B24,NXT!$C$12:$D$60,2,0)),"",VLOOKUP(B24,NXT!$C$12:$D$60,2,0))</f>
        <v/>
      </c>
      <c r="E24" s="585"/>
      <c r="F24" s="586" t="str">
        <f ca="1">IF(ROWS($1:8)&gt;COUNT(Dong10),"",OFFSET(TH!I$1,SMALL(Dong10,ROWS($1:8)),))</f>
        <v/>
      </c>
      <c r="G24" s="586" t="str">
        <f ca="1">IF(ROWS($1:8)&gt;COUNT(Dong10),"",OFFSET(TH!J$1,SMALL(Dong10,ROWS($1:8)),))</f>
        <v/>
      </c>
      <c r="H24" s="585">
        <f t="shared" ca="1" si="1"/>
        <v>0</v>
      </c>
    </row>
    <row r="25" spans="1:8" ht="11.25" customHeight="1">
      <c r="A25" s="581" t="str">
        <f t="shared" ref="A25" ca="1" si="4">IF(B25="","",A24+1)</f>
        <v/>
      </c>
      <c r="B25" s="582" t="str">
        <f ca="1">IF(ROWS($1:9)&gt;COUNT(Dong10),"",OFFSET(TH!F$1,SMALL(Dong10,ROWS($1:9)),))</f>
        <v/>
      </c>
      <c r="C25" s="583"/>
      <c r="D25" s="584" t="str">
        <f ca="1">IF(ISNA(VLOOKUP(B25,NXT!$C$12:$D$60,2,0)),"",VLOOKUP(B25,NXT!$C$12:$D$60,2,0))</f>
        <v/>
      </c>
      <c r="E25" s="585"/>
      <c r="F25" s="586" t="str">
        <f ca="1">IF(ROWS($1:9)&gt;COUNT(Dong10),"",OFFSET(TH!I$1,SMALL(Dong10,ROWS($1:9)),))</f>
        <v/>
      </c>
      <c r="G25" s="586" t="str">
        <f ca="1">IF(ROWS($1:9)&gt;COUNT(Dong10),"",OFFSET(TH!J$1,SMALL(Dong10,ROWS($1:9)),))</f>
        <v/>
      </c>
      <c r="H25" s="585">
        <f t="shared" ref="H25" ca="1" si="5">IF(F25&lt;&gt;"",ROUND(F25*G25,0),0)</f>
        <v>0</v>
      </c>
    </row>
    <row r="26" spans="1:8" ht="11.25" customHeight="1">
      <c r="A26" s="581"/>
      <c r="B26" s="582"/>
      <c r="C26" s="583"/>
      <c r="D26" s="584"/>
      <c r="E26" s="585"/>
      <c r="F26" s="586"/>
      <c r="G26" s="587"/>
      <c r="H26" s="585"/>
    </row>
    <row r="27" spans="1:8" ht="11.25" customHeight="1">
      <c r="A27" s="860" t="s">
        <v>195</v>
      </c>
      <c r="B27" s="860"/>
      <c r="C27" s="588"/>
      <c r="D27" s="588"/>
      <c r="E27" s="589"/>
      <c r="F27" s="589"/>
      <c r="G27" s="589"/>
      <c r="H27" s="589">
        <f ca="1">SUM(H17:H26)</f>
        <v>18666000</v>
      </c>
    </row>
    <row r="28" spans="1:8" ht="3" customHeight="1">
      <c r="A28" s="590"/>
      <c r="B28" s="590"/>
      <c r="C28" s="292"/>
      <c r="D28" s="292"/>
      <c r="E28" s="591"/>
      <c r="F28" s="591"/>
      <c r="G28" s="591"/>
      <c r="H28" s="591"/>
    </row>
    <row r="29" spans="1:8" ht="11.25" customHeight="1">
      <c r="A29" s="289" t="str">
        <f ca="1">"Tổng số tiền (viết bằng chữ):  "&amp;[3]!VND(H27, TRUE)</f>
        <v>Tổng số tiền (viết bằng chữ):  Mười tám triệu, sáu trăm sáu mươi sáu ngàn đồng</v>
      </c>
    </row>
    <row r="30" spans="1:8" ht="11.25" customHeight="1">
      <c r="A30" s="289" t="str">
        <f ca="1">"Số chứng từ gốc kèm theo :  "&amp;IF(ROWS($1:1)&gt;COUNT(Dong10),"",IF(OFFSET(TH!G$1,SMALL(Dong10,ROWS($1:1)),)="","","HĐ "&amp;OFFSET(TH!G$1,SMALL(Dong10,ROWS($1:1)),)))</f>
        <v>Số chứng từ gốc kèm theo :  HĐ 0000001</v>
      </c>
    </row>
    <row r="31" spans="1:8" ht="11.25" customHeight="1">
      <c r="F31" s="68" t="str">
        <f ca="1">+IF(LEFT($D$7,1)="N","                                                          "&amp;D6,"                                                                                           "&amp;D6)</f>
        <v xml:space="preserve">                                                                                           Ngày  15  tháng  9  năm  2012</v>
      </c>
    </row>
    <row r="32" spans="1:8" s="291" customFormat="1" ht="11.25" customHeight="1">
      <c r="A32" s="592" t="s">
        <v>196</v>
      </c>
      <c r="C32" s="71"/>
      <c r="E32" s="71"/>
      <c r="F32" s="71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577" t="s">
        <v>197</v>
      </c>
      <c r="C33" s="68"/>
      <c r="E33" s="68"/>
      <c r="F33" s="68" t="str">
        <f>+IF(LEFT($D$7,1)="N","                                                     (Ký, họ tên)","                (Ký, họ tên)                ")</f>
        <v xml:space="preserve">                (Ký, họ tên)                </v>
      </c>
      <c r="H33" s="577" t="str">
        <f>+IF(LEFT($D$7,1)="N","","  (Ký, họ tên)")</f>
        <v xml:space="preserve">  (Ký, họ tên)</v>
      </c>
    </row>
    <row r="34" spans="1:8" ht="12.75" customHeight="1">
      <c r="G34" s="68"/>
    </row>
    <row r="35" spans="1:8" ht="11.25" customHeight="1"/>
    <row r="36" spans="1:8" ht="11.25" customHeight="1"/>
    <row r="37" spans="1:8" ht="11.25" customHeight="1"/>
    <row r="38" spans="1:8" s="573" customFormat="1" ht="11.25" customHeight="1"/>
    <row r="39" spans="1:8" ht="11.25" customHeight="1">
      <c r="A39" s="297"/>
      <c r="F39" s="298"/>
    </row>
  </sheetData>
  <mergeCells count="9">
    <mergeCell ref="A3:E4"/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88"/>
  <sheetViews>
    <sheetView topLeftCell="A7" zoomScale="90" workbookViewId="0">
      <pane ySplit="7" topLeftCell="A14" activePane="bottomLeft" state="frozen"/>
      <selection activeCell="A7" sqref="A7"/>
      <selection pane="bottomLeft" activeCell="E25" sqref="E25:I25"/>
    </sheetView>
  </sheetViews>
  <sheetFormatPr defaultColWidth="23.85546875" defaultRowHeight="15"/>
  <cols>
    <col min="1" max="1" width="4.28515625" style="300" customWidth="1"/>
    <col min="2" max="2" width="8.5703125" style="300" customWidth="1"/>
    <col min="3" max="3" width="11" style="300" customWidth="1"/>
    <col min="4" max="4" width="41.7109375" style="300" customWidth="1"/>
    <col min="5" max="5" width="8" style="313" customWidth="1"/>
    <col min="6" max="6" width="8.85546875" style="300" customWidth="1"/>
    <col min="7" max="7" width="9" style="300" customWidth="1"/>
    <col min="8" max="8" width="14.140625" style="300" customWidth="1"/>
    <col min="9" max="9" width="8.85546875" style="300" customWidth="1"/>
    <col min="10" max="10" width="13.42578125" style="300" customWidth="1"/>
    <col min="11" max="11" width="10.140625" style="300" customWidth="1"/>
    <col min="12" max="12" width="13" style="300" customWidth="1"/>
    <col min="13" max="13" width="7.140625" style="300" customWidth="1"/>
    <col min="14" max="14" width="2" style="300" customWidth="1"/>
    <col min="15" max="15" width="5.5703125" style="300" customWidth="1"/>
    <col min="16" max="16" width="4.42578125" style="300" customWidth="1"/>
    <col min="17" max="16384" width="23.85546875" style="300"/>
  </cols>
  <sheetData>
    <row r="1" spans="1:17">
      <c r="A1" s="299" t="s">
        <v>198</v>
      </c>
      <c r="E1" s="300"/>
      <c r="O1" s="301"/>
    </row>
    <row r="2" spans="1:17" s="251" customFormat="1" ht="16.5" customHeight="1">
      <c r="B2" s="302" t="str">
        <f>TH!A1</f>
        <v>Đơn vị: CÔNG TY TNHH MỘT THÀNH VIÊN KHỞI NGUYÊN AN</v>
      </c>
      <c r="C2" s="303"/>
      <c r="D2" s="304"/>
      <c r="E2" s="305"/>
      <c r="F2" s="2"/>
      <c r="J2" s="868" t="s">
        <v>199</v>
      </c>
      <c r="K2" s="868"/>
      <c r="L2" s="868"/>
      <c r="M2" s="868"/>
      <c r="N2" s="306"/>
    </row>
    <row r="3" spans="1:17" s="251" customFormat="1" ht="16.5" customHeight="1">
      <c r="B3" s="521" t="str">
        <f>TH!A2</f>
        <v>Địa chỉ: Thửa đất số 144, tờ bản đồ số 12TĐH.1, tổ 1, khu phố Đông Tác, Phường Tân Đông Hiệp, Thị Xã Dĩ An, Tỉnh Bình Dương, Việt Nam</v>
      </c>
      <c r="C3" s="302"/>
      <c r="D3" s="302"/>
      <c r="E3" s="307"/>
      <c r="F3" s="302"/>
      <c r="J3" s="869" t="str">
        <f ca="1">IF(YEAR($C$14)&gt;=2015,"(Ban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869"/>
      <c r="L3" s="869"/>
      <c r="M3" s="869"/>
      <c r="N3" s="308"/>
    </row>
    <row r="4" spans="1:17" s="251" customFormat="1" ht="16.5" customHeight="1">
      <c r="B4" s="302"/>
      <c r="C4" s="302"/>
      <c r="D4" s="302"/>
      <c r="E4" s="307"/>
      <c r="F4" s="302"/>
      <c r="J4" s="869"/>
      <c r="K4" s="869"/>
      <c r="L4" s="869"/>
      <c r="M4" s="869"/>
      <c r="N4" s="308"/>
    </row>
    <row r="5" spans="1:17" ht="18.75" customHeight="1">
      <c r="B5" s="870" t="s">
        <v>200</v>
      </c>
      <c r="C5" s="870"/>
      <c r="D5" s="870"/>
      <c r="E5" s="870"/>
      <c r="F5" s="870"/>
      <c r="G5" s="870"/>
      <c r="H5" s="870"/>
      <c r="I5" s="870"/>
      <c r="J5" s="870"/>
      <c r="K5" s="870"/>
      <c r="L5" s="870"/>
      <c r="M5" s="870"/>
      <c r="N5" s="309"/>
    </row>
    <row r="6" spans="1:17" s="310" customFormat="1" ht="12.75">
      <c r="B6" s="871" t="s">
        <v>201</v>
      </c>
      <c r="C6" s="871"/>
      <c r="D6" s="871"/>
      <c r="E6" s="871"/>
      <c r="F6" s="871"/>
      <c r="G6" s="871"/>
      <c r="H6" s="871"/>
      <c r="I6" s="871"/>
      <c r="J6" s="871"/>
      <c r="K6" s="871"/>
      <c r="L6" s="871"/>
      <c r="M6" s="871"/>
      <c r="N6" s="311"/>
    </row>
    <row r="7" spans="1:17">
      <c r="C7" s="312"/>
      <c r="D7" s="312"/>
      <c r="F7" s="314" t="s">
        <v>263</v>
      </c>
      <c r="G7" s="450" t="str">
        <f>IF($O$10="VL","1522",IF($O$10="NL","1521",IF($O$10="TP","155","")))</f>
        <v>155</v>
      </c>
      <c r="H7" s="314" t="s">
        <v>202</v>
      </c>
      <c r="I7" s="312" t="str">
        <f>IF($O$10="NL","Nguyên Liệu",IF($O$10="TP","Thành Phẩm",IF($O$10="VL","Vật Liệu","")))</f>
        <v>Thành Phẩm</v>
      </c>
      <c r="J7" s="312"/>
      <c r="K7" s="312"/>
      <c r="L7" s="312"/>
      <c r="M7" s="312"/>
      <c r="N7" s="313"/>
    </row>
    <row r="8" spans="1:17">
      <c r="B8" s="313"/>
      <c r="C8" s="312"/>
      <c r="D8" s="312"/>
      <c r="F8" s="313" t="s">
        <v>203</v>
      </c>
      <c r="H8" s="312"/>
      <c r="I8" s="312"/>
      <c r="J8" s="872" t="s">
        <v>586</v>
      </c>
      <c r="K8" s="872"/>
      <c r="L8" s="872"/>
      <c r="M8" s="312"/>
      <c r="N8" s="312"/>
    </row>
    <row r="9" spans="1:17">
      <c r="D9" s="315"/>
      <c r="E9" s="316"/>
      <c r="F9" s="315"/>
      <c r="G9" s="315"/>
      <c r="H9" s="315"/>
      <c r="I9" s="315"/>
      <c r="J9" s="315"/>
      <c r="K9" s="315" t="s">
        <v>123</v>
      </c>
      <c r="M9" s="317"/>
      <c r="N9" s="318"/>
    </row>
    <row r="10" spans="1:17" ht="15.75" customHeight="1">
      <c r="A10" s="862" t="s">
        <v>35</v>
      </c>
      <c r="B10" s="863" t="s">
        <v>1</v>
      </c>
      <c r="C10" s="863"/>
      <c r="D10" s="864" t="s">
        <v>0</v>
      </c>
      <c r="E10" s="864" t="s">
        <v>204</v>
      </c>
      <c r="F10" s="864" t="s">
        <v>192</v>
      </c>
      <c r="G10" s="866" t="s">
        <v>205</v>
      </c>
      <c r="H10" s="867"/>
      <c r="I10" s="866" t="s">
        <v>206</v>
      </c>
      <c r="J10" s="867"/>
      <c r="K10" s="866" t="s">
        <v>207</v>
      </c>
      <c r="L10" s="867"/>
      <c r="M10" s="864" t="s">
        <v>127</v>
      </c>
      <c r="N10" s="319"/>
      <c r="O10" s="320" t="s">
        <v>629</v>
      </c>
    </row>
    <row r="11" spans="1:17" ht="31.5" customHeight="1">
      <c r="A11" s="862"/>
      <c r="B11" s="321" t="s">
        <v>15</v>
      </c>
      <c r="C11" s="321" t="s">
        <v>32</v>
      </c>
      <c r="D11" s="864"/>
      <c r="E11" s="864"/>
      <c r="F11" s="864"/>
      <c r="G11" s="321" t="s">
        <v>191</v>
      </c>
      <c r="H11" s="321" t="s">
        <v>193</v>
      </c>
      <c r="I11" s="321" t="s">
        <v>191</v>
      </c>
      <c r="J11" s="321" t="s">
        <v>193</v>
      </c>
      <c r="K11" s="321" t="s">
        <v>191</v>
      </c>
      <c r="L11" s="321" t="s">
        <v>193</v>
      </c>
      <c r="M11" s="864"/>
      <c r="N11" s="319"/>
    </row>
    <row r="12" spans="1:17" s="313" customFormat="1">
      <c r="A12" s="322"/>
      <c r="B12" s="323" t="s">
        <v>2</v>
      </c>
      <c r="C12" s="324" t="s">
        <v>3</v>
      </c>
      <c r="D12" s="324" t="s">
        <v>4</v>
      </c>
      <c r="E12" s="323" t="s">
        <v>5</v>
      </c>
      <c r="F12" s="323">
        <v>1</v>
      </c>
      <c r="G12" s="323">
        <v>2</v>
      </c>
      <c r="H12" s="323" t="s">
        <v>208</v>
      </c>
      <c r="I12" s="323">
        <v>4</v>
      </c>
      <c r="J12" s="323" t="s">
        <v>209</v>
      </c>
      <c r="K12" s="323">
        <v>6</v>
      </c>
      <c r="L12" s="323" t="s">
        <v>210</v>
      </c>
      <c r="M12" s="323"/>
      <c r="N12" s="325"/>
    </row>
    <row r="13" spans="1:17">
      <c r="A13" s="326"/>
      <c r="B13" s="326"/>
      <c r="C13" s="326"/>
      <c r="D13" s="327" t="s">
        <v>144</v>
      </c>
      <c r="E13" s="328"/>
      <c r="F13" s="329"/>
      <c r="G13" s="329"/>
      <c r="H13" s="329"/>
      <c r="I13" s="329"/>
      <c r="J13" s="329"/>
      <c r="K13" s="330">
        <f>VLOOKUP($J$8,NXT!$C$12:$L$60,3,0)</f>
        <v>0</v>
      </c>
      <c r="L13" s="330">
        <f>VLOOKUP($J$8,NXT!$C$12:$L$60,4,0)</f>
        <v>0</v>
      </c>
      <c r="M13" s="329"/>
      <c r="N13" s="325"/>
    </row>
    <row r="14" spans="1:17">
      <c r="A14" s="296">
        <f ca="1">IF(B14="","",ROW()-13)</f>
        <v>1</v>
      </c>
      <c r="B14" s="331" t="str">
        <f ca="1">IF(ROWS($1:1)&gt;COUNT(Dong11),"",OFFSET(TH!D$1,SMALL(Dong11,ROWS($1:1)),))</f>
        <v>NTP</v>
      </c>
      <c r="C14" s="332">
        <f ca="1">IF(ROWS($1:1)&gt;COUNT(Dong11),"",OFFSET(TH!E$1,SMALL(Dong11,ROWS($1:1)),))</f>
        <v>41274</v>
      </c>
      <c r="D14" s="333" t="str">
        <f ca="1">IF(ROWS($1:1)&gt;COUNT(Dong11),"",OFFSET(TH!H$1,SMALL(Dong11,ROWS($1:1)),))</f>
        <v>Nhập thành phẩm</v>
      </c>
      <c r="E14" s="331" t="str">
        <f ca="1">IF(ROWS($1:1)&gt;COUNT(Dong11),"",IF(OFFSET(TH!L$1,SMALL(Dong11,ROWS($1:1)),)=$G$7,OFFSET(TH!M$1,SMALL(Dong11,ROWS($1:1)),),OFFSET(TH!L$1,SMALL(Dong11,ROWS($1:1)),)))</f>
        <v>156</v>
      </c>
      <c r="F14" s="334">
        <f ca="1">IF(ROWS($1:1)&gt;COUNT(Dong11),0,OFFSET(TH!J$1,SMALL(Dong11,ROWS($1:1)),))</f>
        <v>19286.278184149007</v>
      </c>
      <c r="G14" s="334">
        <f ca="1">IF(ROWS($1:1)&gt;COUNT(Dong11),0,IF(LEFT(OFFSET(TH!D$1,SMALL(Dong11,ROWS($1:1)),),1)="N",OFFSET(TH!I$1,SMALL(Dong11,ROWS($1:1)),),0))</f>
        <v>60</v>
      </c>
      <c r="H14" s="335">
        <f ca="1">ROUND(F14*G14,0)</f>
        <v>1157177</v>
      </c>
      <c r="I14" s="334">
        <f ca="1">IF(ROWS($1:1)&gt;COUNT(Dong11),0,IF(LEFT(OFFSET(TH!D$1,SMALL(Dong11,ROWS($1:1)),),1)="X",OFFSET(TH!I$1,SMALL(Dong11,ROWS($1:1)),),0))</f>
        <v>0</v>
      </c>
      <c r="J14" s="335">
        <f ca="1">ROUND(F14*I14,0)</f>
        <v>0</v>
      </c>
      <c r="K14" s="335">
        <f ca="1">IF(D14&lt;&gt;"",K13+G14-I14,0)</f>
        <v>60</v>
      </c>
      <c r="L14" s="335">
        <f ca="1">IF(D14&lt;&gt;"",L13+H14-J14,0)</f>
        <v>1157177</v>
      </c>
      <c r="M14" s="335"/>
      <c r="N14" s="325"/>
    </row>
    <row r="15" spans="1:17">
      <c r="A15" s="296">
        <f t="shared" ref="A15:A18" ca="1" si="0">IF(B15="","",A14+1)</f>
        <v>2</v>
      </c>
      <c r="B15" s="331" t="str">
        <f ca="1">IF(ROWS($1:2)&gt;COUNT(Dong11),"",OFFSET(TH!D$1,SMALL(Dong11,ROWS($1:2)),))</f>
        <v>XB/GV</v>
      </c>
      <c r="C15" s="332">
        <f ca="1">IF(ROWS($1:2)&gt;COUNT(Dong11),"",OFFSET(TH!E$1,SMALL(Dong11,ROWS($1:2)),))</f>
        <v>41274</v>
      </c>
      <c r="D15" s="333" t="str">
        <f ca="1">IF(ROWS($1:2)&gt;COUNT(Dong11),"",OFFSET(TH!H$1,SMALL(Dong11,ROWS($1:2)),))</f>
        <v>Xuất bán</v>
      </c>
      <c r="E15" s="331" t="str">
        <f ca="1">IF(ROWS($1:2)&gt;COUNT(Dong11),"",IF(OFFSET(TH!L$1,SMALL(Dong11,ROWS($1:2)),)=$G$7,OFFSET(TH!M$1,SMALL(Dong11,ROWS($1:2)),),OFFSET(TH!L$1,SMALL(Dong11,ROWS($1:2)),)))</f>
        <v>632</v>
      </c>
      <c r="F15" s="334">
        <f ca="1">IF(ROWS($1:2)&gt;COUNT(Dong11),0,OFFSET(TH!J$1,SMALL(Dong11,ROWS($1:2)),))</f>
        <v>19286.278184149007</v>
      </c>
      <c r="G15" s="334">
        <f ca="1">IF(ROWS($1:2)&gt;COUNT(Dong11),0,IF(LEFT(OFFSET(TH!D$1,SMALL(Dong11,ROWS($1:2)),),1)="N",OFFSET(TH!I$1,SMALL(Dong11,ROWS($1:2)),),0))</f>
        <v>0</v>
      </c>
      <c r="H15" s="335">
        <f t="shared" ref="H15:H18" ca="1" si="1">ROUND(F15*G15,0)</f>
        <v>0</v>
      </c>
      <c r="I15" s="334">
        <f ca="1">IF(ROWS($1:2)&gt;COUNT(Dong11),0,IF(LEFT(OFFSET(TH!D$1,SMALL(Dong11,ROWS($1:2)),),1)="X",OFFSET(TH!I$1,SMALL(Dong11,ROWS($1:2)),),0))</f>
        <v>60</v>
      </c>
      <c r="J15" s="335">
        <f t="shared" ref="J15:J18" ca="1" si="2">ROUND(F15*I15,0)</f>
        <v>1157177</v>
      </c>
      <c r="K15" s="335">
        <f t="shared" ref="K15:K18" ca="1" si="3">IF(D15&lt;&gt;"",K14+G15-I15,0)</f>
        <v>0</v>
      </c>
      <c r="L15" s="335">
        <f t="shared" ref="L15:L18" ca="1" si="4">IF(D15&lt;&gt;"",L14+H15-J15,0)</f>
        <v>0</v>
      </c>
      <c r="M15" s="335"/>
      <c r="N15" s="325"/>
      <c r="Q15" s="336"/>
    </row>
    <row r="16" spans="1:17">
      <c r="A16" s="296" t="str">
        <f t="shared" ca="1" si="0"/>
        <v/>
      </c>
      <c r="B16" s="331" t="str">
        <f ca="1">IF(ROWS($1:3)&gt;COUNT(Dong11),"",OFFSET(TH!D$1,SMALL(Dong11,ROWS($1:3)),))</f>
        <v/>
      </c>
      <c r="C16" s="332" t="str">
        <f ca="1">IF(ROWS($1:3)&gt;COUNT(Dong11),"",OFFSET(TH!E$1,SMALL(Dong11,ROWS($1:3)),))</f>
        <v/>
      </c>
      <c r="D16" s="333" t="str">
        <f ca="1">IF(ROWS($1:3)&gt;COUNT(Dong11),"",OFFSET(TH!H$1,SMALL(Dong11,ROWS($1:3)),))</f>
        <v/>
      </c>
      <c r="E16" s="331" t="str">
        <f ca="1">IF(ROWS($1:3)&gt;COUNT(Dong11),"",IF(OFFSET(TH!L$1,SMALL(Dong11,ROWS($1:3)),)=$G$7,OFFSET(TH!M$1,SMALL(Dong11,ROWS($1:3)),),OFFSET(TH!L$1,SMALL(Dong11,ROWS($1:3)),)))</f>
        <v/>
      </c>
      <c r="F16" s="334">
        <f ca="1">IF(ROWS($1:3)&gt;COUNT(Dong11),0,OFFSET(TH!J$1,SMALL(Dong11,ROWS($1:3)),))</f>
        <v>0</v>
      </c>
      <c r="G16" s="334">
        <f ca="1">IF(ROWS($1:3)&gt;COUNT(Dong11),0,IF(LEFT(OFFSET(TH!D$1,SMALL(Dong11,ROWS($1:3)),),1)="N",OFFSET(TH!I$1,SMALL(Dong11,ROWS($1:3)),),0))</f>
        <v>0</v>
      </c>
      <c r="H16" s="335">
        <f t="shared" ca="1" si="1"/>
        <v>0</v>
      </c>
      <c r="I16" s="334">
        <f ca="1">IF(ROWS($1:3)&gt;COUNT(Dong11),0,IF(LEFT(OFFSET(TH!D$1,SMALL(Dong11,ROWS($1:3)),),1)="X",OFFSET(TH!I$1,SMALL(Dong11,ROWS($1:3)),),0))</f>
        <v>0</v>
      </c>
      <c r="J16" s="335">
        <f t="shared" ca="1" si="2"/>
        <v>0</v>
      </c>
      <c r="K16" s="335">
        <f t="shared" ca="1" si="3"/>
        <v>0</v>
      </c>
      <c r="L16" s="335">
        <f t="shared" ca="1" si="4"/>
        <v>0</v>
      </c>
      <c r="M16" s="335"/>
      <c r="N16" s="325"/>
    </row>
    <row r="17" spans="1:16">
      <c r="A17" s="296" t="str">
        <f t="shared" ca="1" si="0"/>
        <v/>
      </c>
      <c r="B17" s="331" t="str">
        <f ca="1">IF(ROWS($1:4)&gt;COUNT(Dong11),"",OFFSET(TH!D$1,SMALL(Dong11,ROWS($1:4)),))</f>
        <v/>
      </c>
      <c r="C17" s="332" t="str">
        <f ca="1">IF(ROWS($1:4)&gt;COUNT(Dong11),"",OFFSET(TH!E$1,SMALL(Dong11,ROWS($1:4)),))</f>
        <v/>
      </c>
      <c r="D17" s="333" t="str">
        <f ca="1">IF(ROWS($1:4)&gt;COUNT(Dong11),"",OFFSET(TH!H$1,SMALL(Dong11,ROWS($1:4)),))</f>
        <v/>
      </c>
      <c r="E17" s="331" t="str">
        <f ca="1">IF(ROWS($1:4)&gt;COUNT(Dong11),"",IF(OFFSET(TH!L$1,SMALL(Dong11,ROWS($1:4)),)=$G$7,OFFSET(TH!M$1,SMALL(Dong11,ROWS($1:4)),),OFFSET(TH!L$1,SMALL(Dong11,ROWS($1:4)),)))</f>
        <v/>
      </c>
      <c r="F17" s="334">
        <f ca="1">IF(ROWS($1:4)&gt;COUNT(Dong11),0,OFFSET(TH!J$1,SMALL(Dong11,ROWS($1:4)),))</f>
        <v>0</v>
      </c>
      <c r="G17" s="334">
        <f ca="1">IF(ROWS($1:4)&gt;COUNT(Dong11),0,IF(LEFT(OFFSET(TH!D$1,SMALL(Dong11,ROWS($1:4)),),1)="N",OFFSET(TH!I$1,SMALL(Dong11,ROWS($1:4)),),0))</f>
        <v>0</v>
      </c>
      <c r="H17" s="335">
        <f t="shared" ca="1" si="1"/>
        <v>0</v>
      </c>
      <c r="I17" s="334">
        <f ca="1">IF(ROWS($1:4)&gt;COUNT(Dong11),0,IF(LEFT(OFFSET(TH!D$1,SMALL(Dong11,ROWS($1:4)),),1)="X",OFFSET(TH!I$1,SMALL(Dong11,ROWS($1:4)),),0))</f>
        <v>0</v>
      </c>
      <c r="J17" s="335">
        <f t="shared" ca="1" si="2"/>
        <v>0</v>
      </c>
      <c r="K17" s="335">
        <f t="shared" ca="1" si="3"/>
        <v>0</v>
      </c>
      <c r="L17" s="335">
        <f t="shared" ca="1" si="4"/>
        <v>0</v>
      </c>
      <c r="M17" s="335"/>
      <c r="N17" s="325"/>
      <c r="P17" s="337"/>
    </row>
    <row r="18" spans="1:16">
      <c r="A18" s="296" t="str">
        <f t="shared" ca="1" si="0"/>
        <v/>
      </c>
      <c r="B18" s="331" t="str">
        <f ca="1">IF(ROWS($1:5)&gt;COUNT(Dong11),"",OFFSET(TH!D$1,SMALL(Dong11,ROWS($1:5)),))</f>
        <v/>
      </c>
      <c r="C18" s="332" t="str">
        <f ca="1">IF(ROWS($1:5)&gt;COUNT(Dong11),"",OFFSET(TH!E$1,SMALL(Dong11,ROWS($1:5)),))</f>
        <v/>
      </c>
      <c r="D18" s="333" t="str">
        <f ca="1">IF(ROWS($1:5)&gt;COUNT(Dong11),"",OFFSET(TH!H$1,SMALL(Dong11,ROWS($1:5)),))</f>
        <v/>
      </c>
      <c r="E18" s="331" t="str">
        <f ca="1">IF(ROWS($1:5)&gt;COUNT(Dong11),"",IF(OFFSET(TH!L$1,SMALL(Dong11,ROWS($1:5)),)=$G$7,OFFSET(TH!M$1,SMALL(Dong11,ROWS($1:5)),),OFFSET(TH!L$1,SMALL(Dong11,ROWS($1:5)),)))</f>
        <v/>
      </c>
      <c r="F18" s="334">
        <f ca="1">IF(ROWS($1:5)&gt;COUNT(Dong11),0,OFFSET(TH!J$1,SMALL(Dong11,ROWS($1:5)),))</f>
        <v>0</v>
      </c>
      <c r="G18" s="334">
        <f ca="1">IF(ROWS($1:5)&gt;COUNT(Dong11),0,IF(LEFT(OFFSET(TH!D$1,SMALL(Dong11,ROWS($1:5)),),1)="N",OFFSET(TH!I$1,SMALL(Dong11,ROWS($1:5)),),0))</f>
        <v>0</v>
      </c>
      <c r="H18" s="335">
        <f t="shared" ca="1" si="1"/>
        <v>0</v>
      </c>
      <c r="I18" s="334">
        <f ca="1">IF(ROWS($1:5)&gt;COUNT(Dong11),0,IF(LEFT(OFFSET(TH!D$1,SMALL(Dong11,ROWS($1:5)),),1)="X",OFFSET(TH!I$1,SMALL(Dong11,ROWS($1:5)),),0))</f>
        <v>0</v>
      </c>
      <c r="J18" s="335">
        <f t="shared" ca="1" si="2"/>
        <v>0</v>
      </c>
      <c r="K18" s="335">
        <f t="shared" ca="1" si="3"/>
        <v>0</v>
      </c>
      <c r="L18" s="335">
        <f t="shared" ca="1" si="4"/>
        <v>0</v>
      </c>
      <c r="M18" s="335"/>
      <c r="N18" s="325"/>
    </row>
    <row r="19" spans="1:16">
      <c r="A19" s="296" t="str">
        <f>IF(B19="","",#REF!+1)</f>
        <v/>
      </c>
      <c r="B19" s="338"/>
      <c r="C19" s="339"/>
      <c r="D19" s="333"/>
      <c r="E19" s="340"/>
      <c r="F19" s="341"/>
      <c r="G19" s="327"/>
      <c r="H19" s="327"/>
      <c r="I19" s="327"/>
      <c r="J19" s="327"/>
      <c r="K19" s="327"/>
      <c r="L19" s="327"/>
      <c r="M19" s="342"/>
      <c r="N19" s="325"/>
    </row>
    <row r="20" spans="1:16">
      <c r="A20" s="343"/>
      <c r="B20" s="343"/>
      <c r="C20" s="343"/>
      <c r="D20" s="343" t="s">
        <v>211</v>
      </c>
      <c r="E20" s="323" t="s">
        <v>19</v>
      </c>
      <c r="F20" s="323" t="s">
        <v>19</v>
      </c>
      <c r="G20" s="344">
        <f ca="1">SUM(G14:G19)</f>
        <v>60</v>
      </c>
      <c r="H20" s="344">
        <f ca="1">SUM(H14:H19)</f>
        <v>1157177</v>
      </c>
      <c r="I20" s="344">
        <f ca="1">SUM(I14:I19)</f>
        <v>60</v>
      </c>
      <c r="J20" s="344">
        <f ca="1">SUM(J14:J19)</f>
        <v>1157177</v>
      </c>
      <c r="K20" s="344">
        <f ca="1">K13+G20-I20</f>
        <v>0</v>
      </c>
      <c r="L20" s="344">
        <f ca="1">L13+H20-J20</f>
        <v>0</v>
      </c>
      <c r="M20" s="343"/>
      <c r="N20" s="325"/>
    </row>
    <row r="21" spans="1:16">
      <c r="B21" s="345" t="s">
        <v>212</v>
      </c>
      <c r="G21" s="337"/>
      <c r="N21" s="325"/>
    </row>
    <row r="22" spans="1:16">
      <c r="B22" s="346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31 tháng 12 năm 2012</v>
      </c>
      <c r="G22" s="337"/>
      <c r="I22" s="337"/>
      <c r="N22" s="325"/>
    </row>
    <row r="23" spans="1:16">
      <c r="B23" s="312"/>
      <c r="C23" s="312"/>
      <c r="D23" s="312"/>
      <c r="F23" s="312"/>
      <c r="G23" s="347"/>
      <c r="H23" s="313"/>
      <c r="I23" s="348"/>
      <c r="J23" s="865" t="str">
        <f ca="1">"Ngày 31 tháng  12  năm  "&amp;YEAR($A$14)</f>
        <v>Ngày 31 tháng  12  năm  1900</v>
      </c>
      <c r="K23" s="865"/>
      <c r="L23" s="865"/>
      <c r="M23" s="865"/>
      <c r="N23" s="325"/>
    </row>
    <row r="24" spans="1:16">
      <c r="C24" s="312"/>
      <c r="D24" s="473" t="s">
        <v>11</v>
      </c>
      <c r="E24" s="865" t="s">
        <v>12</v>
      </c>
      <c r="F24" s="865"/>
      <c r="G24" s="865"/>
      <c r="H24" s="865"/>
      <c r="I24" s="865"/>
      <c r="J24" s="865" t="s">
        <v>109</v>
      </c>
      <c r="K24" s="865"/>
      <c r="L24" s="865"/>
      <c r="M24" s="865"/>
      <c r="N24" s="325"/>
    </row>
    <row r="25" spans="1:16">
      <c r="C25" s="312"/>
      <c r="D25" s="473" t="s">
        <v>13</v>
      </c>
      <c r="E25" s="865" t="s">
        <v>13</v>
      </c>
      <c r="F25" s="865"/>
      <c r="G25" s="865"/>
      <c r="H25" s="865" t="s">
        <v>136</v>
      </c>
      <c r="I25" s="865"/>
      <c r="J25" s="865" t="s">
        <v>136</v>
      </c>
      <c r="K25" s="865"/>
      <c r="L25" s="865"/>
      <c r="M25" s="865"/>
      <c r="N25" s="325"/>
    </row>
    <row r="26" spans="1:16">
      <c r="N26" s="349"/>
    </row>
    <row r="27" spans="1:16">
      <c r="E27" s="300"/>
    </row>
    <row r="29" spans="1:16" customFormat="1" ht="12.75">
      <c r="E29" s="350"/>
    </row>
    <row r="34" spans="1:17">
      <c r="D34" s="490" t="s">
        <v>151</v>
      </c>
      <c r="E34" s="490"/>
      <c r="J34" s="861" t="s">
        <v>103</v>
      </c>
      <c r="K34" s="861"/>
      <c r="L34" s="861"/>
      <c r="M34" s="861"/>
      <c r="N34" s="491"/>
    </row>
    <row r="36" spans="1:17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1:1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</sheetData>
  <mergeCells count="20">
    <mergeCell ref="J2:M2"/>
    <mergeCell ref="J3:M4"/>
    <mergeCell ref="B5:M5"/>
    <mergeCell ref="B6:M6"/>
    <mergeCell ref="J8:L8"/>
    <mergeCell ref="J34:M34"/>
    <mergeCell ref="A10:A11"/>
    <mergeCell ref="B10:C10"/>
    <mergeCell ref="D10:D11"/>
    <mergeCell ref="E10:E11"/>
    <mergeCell ref="F10:F11"/>
    <mergeCell ref="E25:I25"/>
    <mergeCell ref="J25:M25"/>
    <mergeCell ref="G10:H10"/>
    <mergeCell ref="I10:J10"/>
    <mergeCell ref="K10:L10"/>
    <mergeCell ref="M10:M11"/>
    <mergeCell ref="J23:M23"/>
    <mergeCell ref="E24:I24"/>
    <mergeCell ref="J24:M24"/>
  </mergeCells>
  <conditionalFormatting sqref="D19 I14:M18 B14:G18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4" zoomScale="90" workbookViewId="0">
      <pane ySplit="10" topLeftCell="A14" activePane="bottomLeft" state="frozen"/>
      <selection activeCell="A4" sqref="A4"/>
      <selection pane="bottomLeft" activeCell="E7" sqref="E7"/>
    </sheetView>
  </sheetViews>
  <sheetFormatPr defaultRowHeight="14.25"/>
  <cols>
    <col min="1" max="1" width="4.42578125" style="354" customWidth="1"/>
    <col min="2" max="2" width="9.140625" style="354"/>
    <col min="3" max="3" width="9.140625" style="413" customWidth="1"/>
    <col min="4" max="4" width="10.85546875" style="413" customWidth="1"/>
    <col min="5" max="5" width="39.42578125" style="414" customWidth="1"/>
    <col min="6" max="6" width="10.85546875" style="415" customWidth="1"/>
    <col min="7" max="7" width="9" style="416" customWidth="1"/>
    <col min="8" max="8" width="9.5703125" style="416" customWidth="1"/>
    <col min="9" max="9" width="10" style="416" customWidth="1"/>
    <col min="10" max="10" width="8" style="354" customWidth="1"/>
    <col min="11" max="11" width="2.42578125" style="354" customWidth="1"/>
    <col min="12" max="12" width="6.5703125" style="354" customWidth="1"/>
    <col min="13" max="16384" width="9.140625" style="354"/>
  </cols>
  <sheetData>
    <row r="1" spans="1:12" ht="15" customHeight="1">
      <c r="A1" s="351" t="str">
        <f>TH!A1</f>
        <v>Đơn vị: CÔNG TY TNHH MỘT THÀNH VIÊN KHỞI NGUYÊN AN</v>
      </c>
      <c r="B1" s="352"/>
      <c r="C1" s="352"/>
      <c r="D1" s="352"/>
      <c r="E1" s="353"/>
      <c r="F1" s="874" t="s">
        <v>213</v>
      </c>
      <c r="G1" s="874"/>
      <c r="H1" s="874"/>
      <c r="I1" s="874"/>
      <c r="J1" s="874"/>
      <c r="K1" s="355"/>
      <c r="L1" s="356"/>
    </row>
    <row r="2" spans="1:12" ht="15" customHeight="1">
      <c r="A2" s="522" t="str">
        <f>TH!A2</f>
        <v>Địa chỉ: Thửa đất số 144, tờ bản đồ số 12TĐH.1, tổ 1, khu phố Đông Tác, Phường Tân Đông Hiệp, Thị Xã Dĩ An, Tỉnh Bình Dương, Việt Nam</v>
      </c>
      <c r="B2" s="357"/>
      <c r="C2" s="357"/>
      <c r="D2" s="357"/>
      <c r="E2" s="358"/>
      <c r="F2" s="873" t="str">
        <f ca="1">IF(YEAR($B$14)&gt;=2015,"(Ban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873"/>
      <c r="H2" s="873"/>
      <c r="I2" s="873"/>
      <c r="J2" s="873"/>
      <c r="K2" s="355"/>
    </row>
    <row r="3" spans="1:12" ht="15">
      <c r="A3" s="357"/>
      <c r="B3" s="357"/>
      <c r="C3" s="357"/>
      <c r="D3" s="357"/>
      <c r="E3" s="358"/>
      <c r="F3" s="873"/>
      <c r="G3" s="873"/>
      <c r="H3" s="873"/>
      <c r="I3" s="873"/>
      <c r="J3" s="873"/>
      <c r="K3" s="355"/>
    </row>
    <row r="4" spans="1:12" ht="18.75" customHeight="1">
      <c r="A4" s="360"/>
      <c r="B4" s="360"/>
      <c r="C4" s="360"/>
      <c r="D4" s="360"/>
      <c r="E4" s="361" t="s">
        <v>214</v>
      </c>
      <c r="F4" s="360"/>
      <c r="G4" s="360"/>
      <c r="H4" s="360"/>
      <c r="I4" s="360"/>
      <c r="J4" s="355"/>
      <c r="K4" s="355"/>
    </row>
    <row r="5" spans="1:12" ht="15">
      <c r="A5" s="362"/>
      <c r="B5" s="362"/>
      <c r="C5" s="362"/>
      <c r="D5" s="362"/>
      <c r="E5" s="363" t="str">
        <f ca="1">IF(ISERROR("Ngày lập thẻ: ngày "&amp;DAY(B14)&amp;"/"&amp;MONTH(B14)&amp;"/"&amp;YEAR(B14)),"Ngày lập thẻ: ngày 01/ 01/2016 ","Ngày lập thẻ: ngày "&amp;DAY(B14)&amp;"/"&amp;MONTH(B14)&amp;"/"&amp;YEAR(B14))</f>
        <v>Ngày lập thẻ: ngày 27/10/2012</v>
      </c>
      <c r="F5" s="362"/>
      <c r="G5" s="362"/>
      <c r="H5" s="362"/>
      <c r="I5" s="362"/>
      <c r="J5" s="355"/>
      <c r="K5" s="355"/>
    </row>
    <row r="6" spans="1:12" ht="15">
      <c r="A6" s="362"/>
      <c r="B6" s="362"/>
      <c r="C6" s="362"/>
      <c r="D6" s="362"/>
      <c r="E6" s="363" t="s">
        <v>215</v>
      </c>
      <c r="F6" s="362"/>
      <c r="G6" s="362"/>
      <c r="H6" s="362"/>
      <c r="I6" s="362"/>
      <c r="J6" s="355"/>
      <c r="K6" s="355"/>
    </row>
    <row r="7" spans="1:12" ht="15">
      <c r="A7" s="346" t="s">
        <v>216</v>
      </c>
      <c r="B7" s="346"/>
      <c r="C7" s="364"/>
      <c r="D7" s="364"/>
      <c r="E7" s="365" t="s">
        <v>415</v>
      </c>
      <c r="F7" s="359"/>
      <c r="G7" s="366"/>
      <c r="H7" s="366"/>
      <c r="I7" s="366"/>
      <c r="J7" s="355"/>
      <c r="K7" s="355"/>
    </row>
    <row r="8" spans="1:12" ht="15">
      <c r="A8" s="346" t="s">
        <v>217</v>
      </c>
      <c r="B8" s="346"/>
      <c r="C8" s="355" t="str">
        <f>VLOOKUP($E$7,NXT!$C$12:$L$60,2,0)</f>
        <v>tấm</v>
      </c>
      <c r="D8" s="346"/>
      <c r="E8" s="365"/>
      <c r="F8" s="359"/>
      <c r="G8" s="366"/>
      <c r="H8" s="366"/>
      <c r="I8" s="366"/>
      <c r="J8" s="355"/>
      <c r="K8" s="355"/>
    </row>
    <row r="9" spans="1:12" ht="15">
      <c r="A9" s="875" t="s">
        <v>218</v>
      </c>
      <c r="B9" s="876"/>
      <c r="C9" s="876"/>
      <c r="D9" s="876"/>
      <c r="E9" s="365"/>
      <c r="F9" s="359"/>
      <c r="G9" s="366"/>
      <c r="H9" s="366"/>
      <c r="I9" s="366"/>
      <c r="J9" s="367"/>
      <c r="K9" s="367"/>
    </row>
    <row r="10" spans="1:12" ht="19.5" customHeight="1">
      <c r="A10" s="877" t="s">
        <v>219</v>
      </c>
      <c r="B10" s="878" t="s">
        <v>220</v>
      </c>
      <c r="C10" s="880" t="s">
        <v>15</v>
      </c>
      <c r="D10" s="881"/>
      <c r="E10" s="882" t="s">
        <v>0</v>
      </c>
      <c r="F10" s="891" t="s">
        <v>221</v>
      </c>
      <c r="G10" s="885" t="s">
        <v>191</v>
      </c>
      <c r="H10" s="885"/>
      <c r="I10" s="881"/>
      <c r="J10" s="886" t="s">
        <v>222</v>
      </c>
      <c r="K10" s="368"/>
      <c r="L10" s="369" t="s">
        <v>198</v>
      </c>
    </row>
    <row r="11" spans="1:12" ht="19.5" customHeight="1">
      <c r="A11" s="877"/>
      <c r="B11" s="879"/>
      <c r="C11" s="370" t="s">
        <v>205</v>
      </c>
      <c r="D11" s="370" t="s">
        <v>206</v>
      </c>
      <c r="E11" s="883"/>
      <c r="F11" s="892"/>
      <c r="G11" s="371" t="s">
        <v>205</v>
      </c>
      <c r="H11" s="371" t="s">
        <v>206</v>
      </c>
      <c r="I11" s="371" t="s">
        <v>207</v>
      </c>
      <c r="J11" s="887"/>
      <c r="K11" s="368"/>
    </row>
    <row r="12" spans="1:12" ht="15">
      <c r="A12" s="372" t="s">
        <v>2</v>
      </c>
      <c r="B12" s="373" t="s">
        <v>3</v>
      </c>
      <c r="C12" s="374" t="s">
        <v>4</v>
      </c>
      <c r="D12" s="374" t="s">
        <v>5</v>
      </c>
      <c r="E12" s="375" t="s">
        <v>6</v>
      </c>
      <c r="F12" s="373" t="s">
        <v>130</v>
      </c>
      <c r="G12" s="376">
        <v>1</v>
      </c>
      <c r="H12" s="376">
        <v>2</v>
      </c>
      <c r="I12" s="376">
        <v>3</v>
      </c>
      <c r="J12" s="374" t="s">
        <v>131</v>
      </c>
      <c r="K12" s="377"/>
    </row>
    <row r="13" spans="1:12" ht="16.5" customHeight="1">
      <c r="A13" s="378"/>
      <c r="B13" s="379"/>
      <c r="C13" s="380"/>
      <c r="D13" s="380"/>
      <c r="E13" s="381" t="s">
        <v>183</v>
      </c>
      <c r="F13" s="379"/>
      <c r="G13" s="382"/>
      <c r="H13" s="382"/>
      <c r="I13" s="383">
        <f>VLOOKUP($E$7,NXT!$C$12:$L$60,3,0)</f>
        <v>0</v>
      </c>
      <c r="J13" s="378"/>
      <c r="K13" s="384"/>
    </row>
    <row r="14" spans="1:12" ht="16.5" customHeight="1">
      <c r="A14" s="385">
        <f ca="1">IF(B14&lt;&gt;"",ROW()-(ROW()-1),"")</f>
        <v>1</v>
      </c>
      <c r="B14" s="386">
        <f ca="1">IF(ROWS($1:1)&gt;COUNT(Dong12),"",OFFSET(TH!E$1,SMALL(Dong12,ROWS($1:1)),))</f>
        <v>41209</v>
      </c>
      <c r="C14" s="448" t="str">
        <f ca="1">IF(ROWS($1:1)&gt;COUNT(Dong12),"",IF(MID(OFFSET(TH!D$1,SMALL(Dong12,ROWS($1:1)),),4,1)="N",OFFSET(TH!D$1,SMALL(Dong12,ROWS($1:1)),),""))</f>
        <v/>
      </c>
      <c r="D14" s="386" t="str">
        <f ca="1">IF(ROWS($1:1)&gt;COUNT(Dong12),"",IF(MID(OFFSET(TH!D$1,SMALL(Dong12,ROWS($1:1)),),4,1)="X",OFFSET(TH!D$1,SMALL(Dong12,ROWS($1:1)),),""))</f>
        <v/>
      </c>
      <c r="E14" s="561" t="str">
        <f ca="1">IF(ROWS($1:1)&gt;COUNT(Dong12),"",OFFSET(TH!H$1,SMALL(Dong12,ROWS($1:1)),))</f>
        <v>Cty TNHH SX TM Bao Bì Giấy Nam Long</v>
      </c>
      <c r="F14" s="386">
        <f ca="1">B14</f>
        <v>41209</v>
      </c>
      <c r="G14" s="387">
        <f ca="1">IF(ROWS($1:1)&gt;COUNT(Dong12),0,IF(MID(OFFSET(TH!D$1,SMALL(Dong12,ROWS($1:1)),),4,1)="N",OFFSET(TH!I$1,SMALL(Dong12,ROWS($1:1)),),0))</f>
        <v>0</v>
      </c>
      <c r="H14" s="387">
        <f ca="1">IF(ROWS($1:1)&gt;COUNT(Dong12),0,IF(MID(OFFSET(TH!D$1,SMALL(Dong12,ROWS($1:1)),),4,1)="X",OFFSET(TH!I$1,SMALL(Dong12,ROWS($1:1)),),0))</f>
        <v>0</v>
      </c>
      <c r="I14" s="388">
        <f ca="1">IF(E14&lt;&gt;"",I13+G14-H14,0)</f>
        <v>0</v>
      </c>
      <c r="J14" s="389"/>
      <c r="K14" s="390"/>
    </row>
    <row r="15" spans="1:12" ht="16.5" customHeight="1">
      <c r="A15" s="391">
        <f ca="1">IF(B15&lt;&gt;"",A14+1,"")</f>
        <v>2</v>
      </c>
      <c r="B15" s="386">
        <f ca="1">IF(ROWS($1:2)&gt;COUNT(Dong12),"",OFFSET(TH!E$1,SMALL(Dong12,ROWS($1:2)),))</f>
        <v>41274</v>
      </c>
      <c r="C15" s="448" t="str">
        <f ca="1">IF(ROWS($1:2)&gt;COUNT(Dong12),"",IF(MID(OFFSET(TH!D$1,SMALL(Dong12,ROWS($1:2)),),4,1)="N",OFFSET(TH!D$1,SMALL(Dong12,ROWS($1:2)),),""))</f>
        <v/>
      </c>
      <c r="D15" s="386" t="str">
        <f ca="1">IF(ROWS($1:2)&gt;COUNT(Dong12),"",IF(MID(OFFSET(TH!D$1,SMALL(Dong12,ROWS($1:2)),),4,1)="X",OFFSET(TH!D$1,SMALL(Dong12,ROWS($1:2)),),""))</f>
        <v/>
      </c>
      <c r="E15" s="561" t="str">
        <f ca="1">IF(ROWS($1:2)&gt;COUNT(Dong12),"",OFFSET(TH!H$1,SMALL(Dong12,ROWS($1:2)),))</f>
        <v>Xuất sản xuất</v>
      </c>
      <c r="F15" s="386">
        <f t="shared" ref="F15:F30" ca="1" si="0">B15</f>
        <v>41274</v>
      </c>
      <c r="G15" s="387">
        <f ca="1">IF(ROWS($1:2)&gt;COUNT(Dong12),0,IF(MID(OFFSET(TH!D$1,SMALL(Dong12,ROWS($1:2)),),4,1)="N",OFFSET(TH!I$1,SMALL(Dong12,ROWS($1:2)),),0))</f>
        <v>0</v>
      </c>
      <c r="H15" s="387">
        <f ca="1">IF(ROWS($1:2)&gt;COUNT(Dong12),0,IF(MID(OFFSET(TH!D$1,SMALL(Dong12,ROWS($1:2)),),4,1)="X",OFFSET(TH!I$1,SMALL(Dong12,ROWS($1:2)),),0))</f>
        <v>0</v>
      </c>
      <c r="I15" s="388">
        <f t="shared" ref="I15:I30" ca="1" si="1">IF(E15&lt;&gt;"",I14+G15-H15,0)</f>
        <v>0</v>
      </c>
      <c r="J15" s="389"/>
      <c r="K15" s="390"/>
    </row>
    <row r="16" spans="1:12" ht="16.5" customHeight="1">
      <c r="A16" s="391" t="str">
        <f t="shared" ref="A16:A30" ca="1" si="2">IF(B16&lt;&gt;"",A15+1,"")</f>
        <v/>
      </c>
      <c r="B16" s="386" t="str">
        <f ca="1">IF(ROWS($1:3)&gt;COUNT(Dong12),"",OFFSET(TH!E$1,SMALL(Dong12,ROWS($1:3)),))</f>
        <v/>
      </c>
      <c r="C16" s="448" t="str">
        <f ca="1">IF(ROWS($1:3)&gt;COUNT(Dong12),"",IF(MID(OFFSET(TH!D$1,SMALL(Dong12,ROWS($1:3)),),4,1)="N",OFFSET(TH!D$1,SMALL(Dong12,ROWS($1:3)),),""))</f>
        <v/>
      </c>
      <c r="D16" s="386" t="str">
        <f ca="1">IF(ROWS($1:3)&gt;COUNT(Dong12),"",IF(MID(OFFSET(TH!D$1,SMALL(Dong12,ROWS($1:3)),),4,1)="X",OFFSET(TH!D$1,SMALL(Dong12,ROWS($1:3)),),""))</f>
        <v/>
      </c>
      <c r="E16" s="561" t="str">
        <f ca="1">IF(ROWS($1:3)&gt;COUNT(Dong12),"",OFFSET(TH!H$1,SMALL(Dong12,ROWS($1:3)),))</f>
        <v/>
      </c>
      <c r="F16" s="386" t="str">
        <f t="shared" ca="1" si="0"/>
        <v/>
      </c>
      <c r="G16" s="387">
        <f ca="1">IF(ROWS($1:3)&gt;COUNT(Dong12),0,IF(MID(OFFSET(TH!D$1,SMALL(Dong12,ROWS($1:3)),),4,1)="N",OFFSET(TH!I$1,SMALL(Dong12,ROWS($1:3)),),0))</f>
        <v>0</v>
      </c>
      <c r="H16" s="387">
        <f ca="1">IF(ROWS($1:3)&gt;COUNT(Dong12),0,IF(MID(OFFSET(TH!D$1,SMALL(Dong12,ROWS($1:3)),),4,1)="X",OFFSET(TH!I$1,SMALL(Dong12,ROWS($1:3)),),0))</f>
        <v>0</v>
      </c>
      <c r="I16" s="388">
        <f t="shared" ca="1" si="1"/>
        <v>0</v>
      </c>
      <c r="J16" s="389"/>
      <c r="K16" s="390"/>
    </row>
    <row r="17" spans="1:11" ht="16.5" customHeight="1">
      <c r="A17" s="391" t="str">
        <f t="shared" ca="1" si="2"/>
        <v/>
      </c>
      <c r="B17" s="386" t="str">
        <f ca="1">IF(ROWS($1:4)&gt;COUNT(Dong12),"",OFFSET(TH!E$1,SMALL(Dong12,ROWS($1:4)),))</f>
        <v/>
      </c>
      <c r="C17" s="448" t="str">
        <f ca="1">IF(ROWS($1:4)&gt;COUNT(Dong12),"",IF(MID(OFFSET(TH!D$1,SMALL(Dong12,ROWS($1:4)),),4,1)="N",OFFSET(TH!D$1,SMALL(Dong12,ROWS($1:4)),),""))</f>
        <v/>
      </c>
      <c r="D17" s="386" t="str">
        <f ca="1">IF(ROWS($1:4)&gt;COUNT(Dong12),"",IF(MID(OFFSET(TH!D$1,SMALL(Dong12,ROWS($1:4)),),4,1)="X",OFFSET(TH!D$1,SMALL(Dong12,ROWS($1:4)),),""))</f>
        <v/>
      </c>
      <c r="E17" s="561" t="str">
        <f ca="1">IF(ROWS($1:4)&gt;COUNT(Dong12),"",OFFSET(TH!H$1,SMALL(Dong12,ROWS($1:4)),))</f>
        <v/>
      </c>
      <c r="F17" s="386" t="str">
        <f t="shared" ca="1" si="0"/>
        <v/>
      </c>
      <c r="G17" s="387">
        <f ca="1">IF(ROWS($1:4)&gt;COUNT(Dong12),0,IF(MID(OFFSET(TH!D$1,SMALL(Dong12,ROWS($1:4)),),4,1)="N",OFFSET(TH!I$1,SMALL(Dong12,ROWS($1:4)),),0))</f>
        <v>0</v>
      </c>
      <c r="H17" s="387">
        <f ca="1">IF(ROWS($1:4)&gt;COUNT(Dong12),0,IF(MID(OFFSET(TH!D$1,SMALL(Dong12,ROWS($1:4)),),4,1)="X",OFFSET(TH!I$1,SMALL(Dong12,ROWS($1:4)),),0))</f>
        <v>0</v>
      </c>
      <c r="I17" s="388">
        <f t="shared" ca="1" si="1"/>
        <v>0</v>
      </c>
      <c r="J17" s="389"/>
      <c r="K17" s="390"/>
    </row>
    <row r="18" spans="1:11" ht="16.5" customHeight="1">
      <c r="A18" s="391" t="str">
        <f t="shared" ca="1" si="2"/>
        <v/>
      </c>
      <c r="B18" s="386" t="str">
        <f ca="1">IF(ROWS($1:5)&gt;COUNT(Dong12),"",OFFSET(TH!E$1,SMALL(Dong12,ROWS($1:5)),))</f>
        <v/>
      </c>
      <c r="C18" s="448" t="str">
        <f ca="1">IF(ROWS($1:5)&gt;COUNT(Dong12),"",IF(MID(OFFSET(TH!D$1,SMALL(Dong12,ROWS($1:5)),),4,1)="N",OFFSET(TH!D$1,SMALL(Dong12,ROWS($1:5)),),""))</f>
        <v/>
      </c>
      <c r="D18" s="386" t="str">
        <f ca="1">IF(ROWS($1:5)&gt;COUNT(Dong12),"",IF(MID(OFFSET(TH!D$1,SMALL(Dong12,ROWS($1:5)),),4,1)="X",OFFSET(TH!D$1,SMALL(Dong12,ROWS($1:5)),),""))</f>
        <v/>
      </c>
      <c r="E18" s="561" t="str">
        <f ca="1">IF(ROWS($1:5)&gt;COUNT(Dong12),"",OFFSET(TH!H$1,SMALL(Dong12,ROWS($1:5)),))</f>
        <v/>
      </c>
      <c r="F18" s="386" t="str">
        <f t="shared" ca="1" si="0"/>
        <v/>
      </c>
      <c r="G18" s="387">
        <f ca="1">IF(ROWS($1:5)&gt;COUNT(Dong12),0,IF(MID(OFFSET(TH!D$1,SMALL(Dong12,ROWS($1:5)),),4,1)="N",OFFSET(TH!I$1,SMALL(Dong12,ROWS($1:5)),),0))</f>
        <v>0</v>
      </c>
      <c r="H18" s="387">
        <f ca="1">IF(ROWS($1:5)&gt;COUNT(Dong12),0,IF(MID(OFFSET(TH!D$1,SMALL(Dong12,ROWS($1:5)),),4,1)="X",OFFSET(TH!I$1,SMALL(Dong12,ROWS($1:5)),),0))</f>
        <v>0</v>
      </c>
      <c r="I18" s="388">
        <f t="shared" ca="1" si="1"/>
        <v>0</v>
      </c>
      <c r="J18" s="389"/>
      <c r="K18" s="390"/>
    </row>
    <row r="19" spans="1:11" ht="16.5" customHeight="1">
      <c r="A19" s="391" t="str">
        <f t="shared" ca="1" si="2"/>
        <v/>
      </c>
      <c r="B19" s="386" t="str">
        <f ca="1">IF(ROWS($1:6)&gt;COUNT(Dong12),"",OFFSET(TH!E$1,SMALL(Dong12,ROWS($1:6)),))</f>
        <v/>
      </c>
      <c r="C19" s="448" t="str">
        <f ca="1">IF(ROWS($1:6)&gt;COUNT(Dong12),"",IF(MID(OFFSET(TH!D$1,SMALL(Dong12,ROWS($1:6)),),4,1)="N",OFFSET(TH!D$1,SMALL(Dong12,ROWS($1:6)),),""))</f>
        <v/>
      </c>
      <c r="D19" s="386" t="str">
        <f ca="1">IF(ROWS($1:6)&gt;COUNT(Dong12),"",IF(MID(OFFSET(TH!D$1,SMALL(Dong12,ROWS($1:6)),),4,1)="X",OFFSET(TH!D$1,SMALL(Dong12,ROWS($1:6)),),""))</f>
        <v/>
      </c>
      <c r="E19" s="561" t="str">
        <f ca="1">IF(ROWS($1:6)&gt;COUNT(Dong12),"",OFFSET(TH!H$1,SMALL(Dong12,ROWS($1:6)),))</f>
        <v/>
      </c>
      <c r="F19" s="386" t="str">
        <f t="shared" ca="1" si="0"/>
        <v/>
      </c>
      <c r="G19" s="387">
        <f ca="1">IF(ROWS($1:6)&gt;COUNT(Dong12),0,IF(MID(OFFSET(TH!D$1,SMALL(Dong12,ROWS($1:6)),),4,1)="N",OFFSET(TH!I$1,SMALL(Dong12,ROWS($1:6)),),0))</f>
        <v>0</v>
      </c>
      <c r="H19" s="387">
        <f ca="1">IF(ROWS($1:6)&gt;COUNT(Dong12),0,IF(MID(OFFSET(TH!D$1,SMALL(Dong12,ROWS($1:6)),),4,1)="X",OFFSET(TH!I$1,SMALL(Dong12,ROWS($1:6)),),0))</f>
        <v>0</v>
      </c>
      <c r="I19" s="388">
        <f t="shared" ca="1" si="1"/>
        <v>0</v>
      </c>
      <c r="J19" s="389"/>
      <c r="K19" s="390"/>
    </row>
    <row r="20" spans="1:11" ht="16.5" customHeight="1">
      <c r="A20" s="391" t="str">
        <f t="shared" ca="1" si="2"/>
        <v/>
      </c>
      <c r="B20" s="386" t="str">
        <f ca="1">IF(ROWS($1:7)&gt;COUNT(Dong12),"",OFFSET(TH!E$1,SMALL(Dong12,ROWS($1:7)),))</f>
        <v/>
      </c>
      <c r="C20" s="448" t="str">
        <f ca="1">IF(ROWS($1:7)&gt;COUNT(Dong12),"",IF(MID(OFFSET(TH!D$1,SMALL(Dong12,ROWS($1:7)),),4,1)="N",OFFSET(TH!D$1,SMALL(Dong12,ROWS($1:7)),),""))</f>
        <v/>
      </c>
      <c r="D20" s="386" t="str">
        <f ca="1">IF(ROWS($1:7)&gt;COUNT(Dong12),"",IF(MID(OFFSET(TH!D$1,SMALL(Dong12,ROWS($1:7)),),4,1)="X",OFFSET(TH!D$1,SMALL(Dong12,ROWS($1:7)),),""))</f>
        <v/>
      </c>
      <c r="E20" s="561" t="str">
        <f ca="1">IF(ROWS($1:7)&gt;COUNT(Dong12),"",OFFSET(TH!H$1,SMALL(Dong12,ROWS($1:7)),))</f>
        <v/>
      </c>
      <c r="F20" s="386" t="str">
        <f t="shared" ca="1" si="0"/>
        <v/>
      </c>
      <c r="G20" s="387">
        <f ca="1">IF(ROWS($1:7)&gt;COUNT(Dong12),0,IF(MID(OFFSET(TH!D$1,SMALL(Dong12,ROWS($1:7)),),4,1)="N",OFFSET(TH!I$1,SMALL(Dong12,ROWS($1:7)),),0))</f>
        <v>0</v>
      </c>
      <c r="H20" s="387">
        <f ca="1">IF(ROWS($1:7)&gt;COUNT(Dong12),0,IF(MID(OFFSET(TH!D$1,SMALL(Dong12,ROWS($1:7)),),4,1)="X",OFFSET(TH!I$1,SMALL(Dong12,ROWS($1:7)),),0))</f>
        <v>0</v>
      </c>
      <c r="I20" s="388">
        <f t="shared" ca="1" si="1"/>
        <v>0</v>
      </c>
      <c r="J20" s="389"/>
      <c r="K20" s="390"/>
    </row>
    <row r="21" spans="1:11" ht="16.5" customHeight="1">
      <c r="A21" s="391" t="str">
        <f t="shared" ca="1" si="2"/>
        <v/>
      </c>
      <c r="B21" s="386" t="str">
        <f ca="1">IF(ROWS($1:8)&gt;COUNT(Dong12),"",OFFSET(TH!E$1,SMALL(Dong12,ROWS($1:8)),))</f>
        <v/>
      </c>
      <c r="C21" s="448" t="str">
        <f ca="1">IF(ROWS($1:8)&gt;COUNT(Dong12),"",IF(MID(OFFSET(TH!D$1,SMALL(Dong12,ROWS($1:8)),),4,1)="N",OFFSET(TH!D$1,SMALL(Dong12,ROWS($1:8)),),""))</f>
        <v/>
      </c>
      <c r="D21" s="386" t="str">
        <f ca="1">IF(ROWS($1:8)&gt;COUNT(Dong12),"",IF(MID(OFFSET(TH!D$1,SMALL(Dong12,ROWS($1:8)),),4,1)="X",OFFSET(TH!D$1,SMALL(Dong12,ROWS($1:8)),),""))</f>
        <v/>
      </c>
      <c r="E21" s="561" t="str">
        <f ca="1">IF(ROWS($1:8)&gt;COUNT(Dong12),"",OFFSET(TH!H$1,SMALL(Dong12,ROWS($1:8)),))</f>
        <v/>
      </c>
      <c r="F21" s="386" t="str">
        <f t="shared" ca="1" si="0"/>
        <v/>
      </c>
      <c r="G21" s="387">
        <f ca="1">IF(ROWS($1:8)&gt;COUNT(Dong12),0,IF(MID(OFFSET(TH!D$1,SMALL(Dong12,ROWS($1:8)),),4,1)="N",OFFSET(TH!I$1,SMALL(Dong12,ROWS($1:8)),),0))</f>
        <v>0</v>
      </c>
      <c r="H21" s="387">
        <f ca="1">IF(ROWS($1:8)&gt;COUNT(Dong12),0,IF(MID(OFFSET(TH!D$1,SMALL(Dong12,ROWS($1:8)),),4,1)="X",OFFSET(TH!I$1,SMALL(Dong12,ROWS($1:8)),),0))</f>
        <v>0</v>
      </c>
      <c r="I21" s="388">
        <f t="shared" ca="1" si="1"/>
        <v>0</v>
      </c>
      <c r="J21" s="389"/>
      <c r="K21" s="390"/>
    </row>
    <row r="22" spans="1:11" ht="16.5" customHeight="1">
      <c r="A22" s="391" t="str">
        <f t="shared" ca="1" si="2"/>
        <v/>
      </c>
      <c r="B22" s="386" t="str">
        <f ca="1">IF(ROWS($1:9)&gt;COUNT(Dong12),"",OFFSET(TH!E$1,SMALL(Dong12,ROWS($1:9)),))</f>
        <v/>
      </c>
      <c r="C22" s="448" t="str">
        <f ca="1">IF(ROWS($1:9)&gt;COUNT(Dong12),"",IF(MID(OFFSET(TH!D$1,SMALL(Dong12,ROWS($1:9)),),4,1)="N",OFFSET(TH!D$1,SMALL(Dong12,ROWS($1:9)),),""))</f>
        <v/>
      </c>
      <c r="D22" s="386" t="str">
        <f ca="1">IF(ROWS($1:9)&gt;COUNT(Dong12),"",IF(MID(OFFSET(TH!D$1,SMALL(Dong12,ROWS($1:9)),),4,1)="X",OFFSET(TH!D$1,SMALL(Dong12,ROWS($1:9)),),""))</f>
        <v/>
      </c>
      <c r="E22" s="561" t="str">
        <f ca="1">IF(ROWS($1:9)&gt;COUNT(Dong12),"",OFFSET(TH!H$1,SMALL(Dong12,ROWS($1:9)),))</f>
        <v/>
      </c>
      <c r="F22" s="386" t="str">
        <f t="shared" ca="1" si="0"/>
        <v/>
      </c>
      <c r="G22" s="387">
        <f ca="1">IF(ROWS($1:9)&gt;COUNT(Dong12),0,IF(MID(OFFSET(TH!D$1,SMALL(Dong12,ROWS($1:9)),),4,1)="N",OFFSET(TH!I$1,SMALL(Dong12,ROWS($1:9)),),0))</f>
        <v>0</v>
      </c>
      <c r="H22" s="387">
        <f ca="1">IF(ROWS($1:9)&gt;COUNT(Dong12),0,IF(MID(OFFSET(TH!D$1,SMALL(Dong12,ROWS($1:9)),),4,1)="X",OFFSET(TH!I$1,SMALL(Dong12,ROWS($1:9)),),0))</f>
        <v>0</v>
      </c>
      <c r="I22" s="388">
        <f t="shared" ca="1" si="1"/>
        <v>0</v>
      </c>
      <c r="J22" s="389"/>
      <c r="K22" s="390"/>
    </row>
    <row r="23" spans="1:11" ht="16.5" customHeight="1">
      <c r="A23" s="391" t="str">
        <f t="shared" ca="1" si="2"/>
        <v/>
      </c>
      <c r="B23" s="386" t="str">
        <f ca="1">IF(ROWS($1:10)&gt;COUNT(Dong12),"",OFFSET(TH!E$1,SMALL(Dong12,ROWS($1:10)),))</f>
        <v/>
      </c>
      <c r="C23" s="448" t="str">
        <f ca="1">IF(ROWS($1:10)&gt;COUNT(Dong12),"",IF(MID(OFFSET(TH!D$1,SMALL(Dong12,ROWS($1:10)),),4,1)="N",OFFSET(TH!D$1,SMALL(Dong12,ROWS($1:10)),),""))</f>
        <v/>
      </c>
      <c r="D23" s="386" t="str">
        <f ca="1">IF(ROWS($1:10)&gt;COUNT(Dong12),"",IF(MID(OFFSET(TH!D$1,SMALL(Dong12,ROWS($1:10)),),4,1)="X",OFFSET(TH!D$1,SMALL(Dong12,ROWS($1:10)),),""))</f>
        <v/>
      </c>
      <c r="E23" s="561" t="str">
        <f ca="1">IF(ROWS($1:10)&gt;COUNT(Dong12),"",OFFSET(TH!H$1,SMALL(Dong12,ROWS($1:10)),))</f>
        <v/>
      </c>
      <c r="F23" s="386" t="str">
        <f t="shared" ca="1" si="0"/>
        <v/>
      </c>
      <c r="G23" s="387">
        <f ca="1">IF(ROWS($1:10)&gt;COUNT(Dong12),0,IF(MID(OFFSET(TH!D$1,SMALL(Dong12,ROWS($1:10)),),4,1)="N",OFFSET(TH!I$1,SMALL(Dong12,ROWS($1:10)),),0))</f>
        <v>0</v>
      </c>
      <c r="H23" s="387">
        <f ca="1">IF(ROWS($1:10)&gt;COUNT(Dong12),0,IF(MID(OFFSET(TH!D$1,SMALL(Dong12,ROWS($1:10)),),4,1)="X",OFFSET(TH!I$1,SMALL(Dong12,ROWS($1:10)),),0))</f>
        <v>0</v>
      </c>
      <c r="I23" s="388">
        <f t="shared" ca="1" si="1"/>
        <v>0</v>
      </c>
      <c r="J23" s="389"/>
      <c r="K23" s="390"/>
    </row>
    <row r="24" spans="1:11" ht="16.5" customHeight="1">
      <c r="A24" s="391" t="str">
        <f t="shared" ca="1" si="2"/>
        <v/>
      </c>
      <c r="B24" s="386" t="str">
        <f ca="1">IF(ROWS($1:11)&gt;COUNT(Dong12),"",OFFSET(TH!E$1,SMALL(Dong12,ROWS($1:11)),))</f>
        <v/>
      </c>
      <c r="C24" s="448" t="str">
        <f ca="1">IF(ROWS($1:11)&gt;COUNT(Dong12),"",IF(MID(OFFSET(TH!D$1,SMALL(Dong12,ROWS($1:11)),),4,1)="N",OFFSET(TH!D$1,SMALL(Dong12,ROWS($1:11)),),""))</f>
        <v/>
      </c>
      <c r="D24" s="386" t="str">
        <f ca="1">IF(ROWS($1:11)&gt;COUNT(Dong12),"",IF(MID(OFFSET(TH!D$1,SMALL(Dong12,ROWS($1:11)),),4,1)="X",OFFSET(TH!D$1,SMALL(Dong12,ROWS($1:11)),),""))</f>
        <v/>
      </c>
      <c r="E24" s="561" t="str">
        <f ca="1">IF(ROWS($1:11)&gt;COUNT(Dong12),"",OFFSET(TH!H$1,SMALL(Dong12,ROWS($1:11)),))</f>
        <v/>
      </c>
      <c r="F24" s="386" t="str">
        <f t="shared" ca="1" si="0"/>
        <v/>
      </c>
      <c r="G24" s="387">
        <f ca="1">IF(ROWS($1:11)&gt;COUNT(Dong12),0,IF(MID(OFFSET(TH!D$1,SMALL(Dong12,ROWS($1:11)),),4,1)="N",OFFSET(TH!I$1,SMALL(Dong12,ROWS($1:11)),),0))</f>
        <v>0</v>
      </c>
      <c r="H24" s="387">
        <f ca="1">IF(ROWS($1:11)&gt;COUNT(Dong12),0,IF(MID(OFFSET(TH!D$1,SMALL(Dong12,ROWS($1:11)),),4,1)="X",OFFSET(TH!I$1,SMALL(Dong12,ROWS($1:11)),),0))</f>
        <v>0</v>
      </c>
      <c r="I24" s="388">
        <f t="shared" ca="1" si="1"/>
        <v>0</v>
      </c>
      <c r="J24" s="389"/>
      <c r="K24" s="390"/>
    </row>
    <row r="25" spans="1:11" ht="16.5" customHeight="1">
      <c r="A25" s="391" t="str">
        <f t="shared" ca="1" si="2"/>
        <v/>
      </c>
      <c r="B25" s="386" t="str">
        <f ca="1">IF(ROWS($1:12)&gt;COUNT(Dong12),"",OFFSET(TH!E$1,SMALL(Dong12,ROWS($1:12)),))</f>
        <v/>
      </c>
      <c r="C25" s="448" t="str">
        <f ca="1">IF(ROWS($1:12)&gt;COUNT(Dong12),"",IF(MID(OFFSET(TH!D$1,SMALL(Dong12,ROWS($1:12)),),4,1)="N",OFFSET(TH!D$1,SMALL(Dong12,ROWS($1:12)),),""))</f>
        <v/>
      </c>
      <c r="D25" s="386" t="str">
        <f ca="1">IF(ROWS($1:12)&gt;COUNT(Dong12),"",IF(MID(OFFSET(TH!D$1,SMALL(Dong12,ROWS($1:12)),),4,1)="X",OFFSET(TH!D$1,SMALL(Dong12,ROWS($1:12)),),""))</f>
        <v/>
      </c>
      <c r="E25" s="561" t="str">
        <f ca="1">IF(ROWS($1:12)&gt;COUNT(Dong12),"",OFFSET(TH!H$1,SMALL(Dong12,ROWS($1:12)),))</f>
        <v/>
      </c>
      <c r="F25" s="386" t="str">
        <f t="shared" ca="1" si="0"/>
        <v/>
      </c>
      <c r="G25" s="387">
        <f ca="1">IF(ROWS($1:12)&gt;COUNT(Dong12),0,IF(MID(OFFSET(TH!D$1,SMALL(Dong12,ROWS($1:12)),),4,1)="N",OFFSET(TH!I$1,SMALL(Dong12,ROWS($1:12)),),0))</f>
        <v>0</v>
      </c>
      <c r="H25" s="387">
        <f ca="1">IF(ROWS($1:12)&gt;COUNT(Dong12),0,IF(MID(OFFSET(TH!D$1,SMALL(Dong12,ROWS($1:12)),),4,1)="X",OFFSET(TH!I$1,SMALL(Dong12,ROWS($1:12)),),0))</f>
        <v>0</v>
      </c>
      <c r="I25" s="388">
        <f t="shared" ca="1" si="1"/>
        <v>0</v>
      </c>
      <c r="J25" s="389"/>
      <c r="K25" s="390"/>
    </row>
    <row r="26" spans="1:11" ht="16.5" customHeight="1">
      <c r="A26" s="391" t="str">
        <f t="shared" ca="1" si="2"/>
        <v/>
      </c>
      <c r="B26" s="386" t="str">
        <f ca="1">IF(ROWS($1:13)&gt;COUNT(Dong12),"",OFFSET(TH!E$1,SMALL(Dong12,ROWS($1:13)),))</f>
        <v/>
      </c>
      <c r="C26" s="448" t="str">
        <f ca="1">IF(ROWS($1:13)&gt;COUNT(Dong12),"",IF(MID(OFFSET(TH!D$1,SMALL(Dong12,ROWS($1:13)),),4,1)="N",OFFSET(TH!D$1,SMALL(Dong12,ROWS($1:13)),),""))</f>
        <v/>
      </c>
      <c r="D26" s="386" t="str">
        <f ca="1">IF(ROWS($1:13)&gt;COUNT(Dong12),"",IF(MID(OFFSET(TH!D$1,SMALL(Dong12,ROWS($1:13)),),4,1)="X",OFFSET(TH!D$1,SMALL(Dong12,ROWS($1:13)),),""))</f>
        <v/>
      </c>
      <c r="E26" s="561" t="str">
        <f ca="1">IF(ROWS($1:13)&gt;COUNT(Dong12),"",OFFSET(TH!H$1,SMALL(Dong12,ROWS($1:13)),))</f>
        <v/>
      </c>
      <c r="F26" s="386" t="str">
        <f t="shared" ca="1" si="0"/>
        <v/>
      </c>
      <c r="G26" s="387">
        <f ca="1">IF(ROWS($1:13)&gt;COUNT(Dong12),0,IF(MID(OFFSET(TH!D$1,SMALL(Dong12,ROWS($1:13)),),4,1)="N",OFFSET(TH!I$1,SMALL(Dong12,ROWS($1:13)),),0))</f>
        <v>0</v>
      </c>
      <c r="H26" s="387">
        <f ca="1">IF(ROWS($1:13)&gt;COUNT(Dong12),0,IF(MID(OFFSET(TH!D$1,SMALL(Dong12,ROWS($1:13)),),4,1)="X",OFFSET(TH!I$1,SMALL(Dong12,ROWS($1:13)),),0))</f>
        <v>0</v>
      </c>
      <c r="I26" s="388">
        <f t="shared" ca="1" si="1"/>
        <v>0</v>
      </c>
      <c r="J26" s="389"/>
      <c r="K26" s="390"/>
    </row>
    <row r="27" spans="1:11" ht="16.5" customHeight="1">
      <c r="A27" s="391" t="str">
        <f t="shared" ca="1" si="2"/>
        <v/>
      </c>
      <c r="B27" s="386" t="str">
        <f ca="1">IF(ROWS($1:14)&gt;COUNT(Dong12),"",OFFSET(TH!E$1,SMALL(Dong12,ROWS($1:14)),))</f>
        <v/>
      </c>
      <c r="C27" s="448" t="str">
        <f ca="1">IF(ROWS($1:14)&gt;COUNT(Dong12),"",IF(MID(OFFSET(TH!D$1,SMALL(Dong12,ROWS($1:14)),),4,1)="N",OFFSET(TH!D$1,SMALL(Dong12,ROWS($1:14)),),""))</f>
        <v/>
      </c>
      <c r="D27" s="386" t="str">
        <f ca="1">IF(ROWS($1:14)&gt;COUNT(Dong12),"",IF(MID(OFFSET(TH!D$1,SMALL(Dong12,ROWS($1:14)),),4,1)="X",OFFSET(TH!D$1,SMALL(Dong12,ROWS($1:14)),),""))</f>
        <v/>
      </c>
      <c r="E27" s="561" t="str">
        <f ca="1">IF(ROWS($1:14)&gt;COUNT(Dong12),"",OFFSET(TH!H$1,SMALL(Dong12,ROWS($1:14)),))</f>
        <v/>
      </c>
      <c r="F27" s="386" t="str">
        <f t="shared" ca="1" si="0"/>
        <v/>
      </c>
      <c r="G27" s="387">
        <f ca="1">IF(ROWS($1:14)&gt;COUNT(Dong12),0,IF(MID(OFFSET(TH!D$1,SMALL(Dong12,ROWS($1:14)),),4,1)="N",OFFSET(TH!I$1,SMALL(Dong12,ROWS($1:14)),),0))</f>
        <v>0</v>
      </c>
      <c r="H27" s="387">
        <f ca="1">IF(ROWS($1:14)&gt;COUNT(Dong12),0,IF(MID(OFFSET(TH!D$1,SMALL(Dong12,ROWS($1:14)),),4,1)="X",OFFSET(TH!I$1,SMALL(Dong12,ROWS($1:14)),),0))</f>
        <v>0</v>
      </c>
      <c r="I27" s="388">
        <f t="shared" ca="1" si="1"/>
        <v>0</v>
      </c>
      <c r="J27" s="389"/>
      <c r="K27" s="390"/>
    </row>
    <row r="28" spans="1:11" ht="16.5" customHeight="1">
      <c r="A28" s="391" t="str">
        <f t="shared" ca="1" si="2"/>
        <v/>
      </c>
      <c r="B28" s="386" t="str">
        <f ca="1">IF(ROWS($1:15)&gt;COUNT(Dong12),"",OFFSET(TH!E$1,SMALL(Dong12,ROWS($1:15)),))</f>
        <v/>
      </c>
      <c r="C28" s="448" t="str">
        <f ca="1">IF(ROWS($1:15)&gt;COUNT(Dong12),"",IF(MID(OFFSET(TH!D$1,SMALL(Dong12,ROWS($1:15)),),4,1)="N",OFFSET(TH!D$1,SMALL(Dong12,ROWS($1:15)),),""))</f>
        <v/>
      </c>
      <c r="D28" s="386" t="str">
        <f ca="1">IF(ROWS($1:15)&gt;COUNT(Dong12),"",IF(MID(OFFSET(TH!D$1,SMALL(Dong12,ROWS($1:15)),),4,1)="X",OFFSET(TH!D$1,SMALL(Dong12,ROWS($1:15)),),""))</f>
        <v/>
      </c>
      <c r="E28" s="561" t="str">
        <f ca="1">IF(ROWS($1:15)&gt;COUNT(Dong12),"",OFFSET(TH!H$1,SMALL(Dong12,ROWS($1:15)),))</f>
        <v/>
      </c>
      <c r="F28" s="386" t="str">
        <f t="shared" ca="1" si="0"/>
        <v/>
      </c>
      <c r="G28" s="387">
        <f ca="1">IF(ROWS($1:15)&gt;COUNT(Dong12),0,IF(MID(OFFSET(TH!D$1,SMALL(Dong12,ROWS($1:15)),),4,1)="N",OFFSET(TH!I$1,SMALL(Dong12,ROWS($1:15)),),0))</f>
        <v>0</v>
      </c>
      <c r="H28" s="387">
        <f ca="1">IF(ROWS($1:15)&gt;COUNT(Dong12),0,IF(MID(OFFSET(TH!D$1,SMALL(Dong12,ROWS($1:15)),),4,1)="X",OFFSET(TH!I$1,SMALL(Dong12,ROWS($1:15)),),0))</f>
        <v>0</v>
      </c>
      <c r="I28" s="388">
        <f t="shared" ca="1" si="1"/>
        <v>0</v>
      </c>
      <c r="J28" s="389"/>
      <c r="K28" s="390"/>
    </row>
    <row r="29" spans="1:11" ht="16.5" customHeight="1">
      <c r="A29" s="391" t="str">
        <f t="shared" ca="1" si="2"/>
        <v/>
      </c>
      <c r="B29" s="386" t="str">
        <f ca="1">IF(ROWS($1:16)&gt;COUNT(Dong12),"",OFFSET(TH!E$1,SMALL(Dong12,ROWS($1:16)),))</f>
        <v/>
      </c>
      <c r="C29" s="448" t="str">
        <f ca="1">IF(ROWS($1:16)&gt;COUNT(Dong12),"",IF(MID(OFFSET(TH!D$1,SMALL(Dong12,ROWS($1:16)),),4,1)="N",OFFSET(TH!D$1,SMALL(Dong12,ROWS($1:16)),),""))</f>
        <v/>
      </c>
      <c r="D29" s="386" t="str">
        <f ca="1">IF(ROWS($1:16)&gt;COUNT(Dong12),"",IF(MID(OFFSET(TH!D$1,SMALL(Dong12,ROWS($1:16)),),4,1)="X",OFFSET(TH!D$1,SMALL(Dong12,ROWS($1:16)),),""))</f>
        <v/>
      </c>
      <c r="E29" s="561" t="str">
        <f ca="1">IF(ROWS($1:16)&gt;COUNT(Dong12),"",OFFSET(TH!H$1,SMALL(Dong12,ROWS($1:16)),))</f>
        <v/>
      </c>
      <c r="F29" s="386" t="str">
        <f t="shared" ca="1" si="0"/>
        <v/>
      </c>
      <c r="G29" s="387">
        <f ca="1">IF(ROWS($1:16)&gt;COUNT(Dong12),0,IF(MID(OFFSET(TH!D$1,SMALL(Dong12,ROWS($1:16)),),4,1)="N",OFFSET(TH!I$1,SMALL(Dong12,ROWS($1:16)),),0))</f>
        <v>0</v>
      </c>
      <c r="H29" s="387">
        <f ca="1">IF(ROWS($1:16)&gt;COUNT(Dong12),0,IF(MID(OFFSET(TH!D$1,SMALL(Dong12,ROWS($1:16)),),4,1)="X",OFFSET(TH!I$1,SMALL(Dong12,ROWS($1:16)),),0))</f>
        <v>0</v>
      </c>
      <c r="I29" s="388">
        <f t="shared" ca="1" si="1"/>
        <v>0</v>
      </c>
      <c r="J29" s="389"/>
      <c r="K29" s="390"/>
    </row>
    <row r="30" spans="1:11" ht="16.5" customHeight="1">
      <c r="A30" s="391" t="str">
        <f t="shared" ca="1" si="2"/>
        <v/>
      </c>
      <c r="B30" s="386" t="str">
        <f ca="1">IF(ROWS($1:17)&gt;COUNT(Dong12),"",OFFSET(TH!E$1,SMALL(Dong12,ROWS($1:17)),))</f>
        <v/>
      </c>
      <c r="C30" s="448" t="str">
        <f ca="1">IF(ROWS($1:17)&gt;COUNT(Dong12),"",IF(MID(OFFSET(TH!D$1,SMALL(Dong12,ROWS($1:17)),),4,1)="N",OFFSET(TH!D$1,SMALL(Dong12,ROWS($1:17)),),""))</f>
        <v/>
      </c>
      <c r="D30" s="386" t="str">
        <f ca="1">IF(ROWS($1:17)&gt;COUNT(Dong12),"",IF(MID(OFFSET(TH!D$1,SMALL(Dong12,ROWS($1:17)),),4,1)="X",OFFSET(TH!D$1,SMALL(Dong12,ROWS($1:17)),),""))</f>
        <v/>
      </c>
      <c r="E30" s="561" t="str">
        <f ca="1">IF(ROWS($1:17)&gt;COUNT(Dong12),"",OFFSET(TH!H$1,SMALL(Dong12,ROWS($1:17)),))</f>
        <v/>
      </c>
      <c r="F30" s="386" t="str">
        <f t="shared" ca="1" si="0"/>
        <v/>
      </c>
      <c r="G30" s="387">
        <f ca="1">IF(ROWS($1:17)&gt;COUNT(Dong12),0,IF(MID(OFFSET(TH!D$1,SMALL(Dong12,ROWS($1:17)),),4,1)="N",OFFSET(TH!I$1,SMALL(Dong12,ROWS($1:17)),),0))</f>
        <v>0</v>
      </c>
      <c r="H30" s="387">
        <f ca="1">IF(ROWS($1:17)&gt;COUNT(Dong12),0,IF(MID(OFFSET(TH!D$1,SMALL(Dong12,ROWS($1:17)),),4,1)="X",OFFSET(TH!I$1,SMALL(Dong12,ROWS($1:17)),),0))</f>
        <v>0</v>
      </c>
      <c r="I30" s="388">
        <f t="shared" ca="1" si="1"/>
        <v>0</v>
      </c>
      <c r="J30" s="389"/>
      <c r="K30" s="390"/>
    </row>
    <row r="31" spans="1:11" ht="16.5" customHeight="1">
      <c r="A31" s="392" t="str">
        <f>IF(D31&lt;&gt;"",A21+1,"")</f>
        <v/>
      </c>
      <c r="B31" s="393"/>
      <c r="C31" s="394"/>
      <c r="D31" s="394"/>
      <c r="E31" s="562"/>
      <c r="F31" s="393"/>
      <c r="G31" s="395"/>
      <c r="H31" s="395"/>
      <c r="I31" s="395"/>
      <c r="J31" s="396"/>
      <c r="K31" s="390"/>
    </row>
    <row r="32" spans="1:11" ht="16.5" customHeight="1">
      <c r="A32" s="380"/>
      <c r="B32" s="397"/>
      <c r="C32" s="380"/>
      <c r="D32" s="380"/>
      <c r="E32" s="381" t="s">
        <v>223</v>
      </c>
      <c r="F32" s="398" t="s">
        <v>19</v>
      </c>
      <c r="G32" s="399">
        <f ca="1">SUM(G14:G31)</f>
        <v>0</v>
      </c>
      <c r="H32" s="399">
        <f ca="1">SUM(H14:H31)</f>
        <v>0</v>
      </c>
      <c r="I32" s="399">
        <f ca="1">I13+G32-H32</f>
        <v>0</v>
      </c>
      <c r="J32" s="380" t="s">
        <v>19</v>
      </c>
      <c r="K32" s="400"/>
    </row>
    <row r="33" spans="1:11" ht="12.75" customHeight="1">
      <c r="A33" s="401"/>
      <c r="B33" s="359"/>
      <c r="C33" s="401"/>
      <c r="D33" s="401"/>
      <c r="E33" s="365"/>
      <c r="F33" s="359"/>
      <c r="G33" s="366"/>
      <c r="H33" s="366"/>
      <c r="I33" s="366"/>
      <c r="J33" s="355"/>
      <c r="K33" s="355"/>
    </row>
    <row r="34" spans="1:11" ht="15">
      <c r="A34" s="402" t="s">
        <v>224</v>
      </c>
      <c r="B34" s="402"/>
      <c r="C34" s="403"/>
      <c r="D34" s="403"/>
      <c r="E34" s="365"/>
      <c r="F34" s="359"/>
      <c r="G34" s="366"/>
      <c r="H34" s="366"/>
      <c r="I34" s="366"/>
      <c r="J34" s="355"/>
      <c r="K34" s="355"/>
    </row>
    <row r="35" spans="1:11" ht="15">
      <c r="A35" s="888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27 tháng 10 năm 2012</v>
      </c>
      <c r="B35" s="889"/>
      <c r="C35" s="889"/>
      <c r="D35" s="889"/>
      <c r="E35" s="889"/>
      <c r="F35" s="359"/>
      <c r="G35" s="366"/>
      <c r="H35" s="366"/>
      <c r="I35" s="366"/>
      <c r="J35" s="355"/>
      <c r="K35" s="355"/>
    </row>
    <row r="36" spans="1:11" ht="15">
      <c r="A36" s="404"/>
      <c r="B36" s="405"/>
      <c r="C36" s="406"/>
      <c r="D36" s="401"/>
      <c r="E36" s="365"/>
      <c r="F36" s="359"/>
      <c r="H36" s="287"/>
      <c r="I36" s="472" t="str">
        <f ca="1">"Ngày 31 tháng  12  năm  "&amp;YEAR($B$14)</f>
        <v>Ngày 31 tháng  12  năm  2012</v>
      </c>
      <c r="J36" s="287"/>
      <c r="K36" s="288"/>
    </row>
    <row r="37" spans="1:11" ht="15" customHeight="1">
      <c r="A37" s="404"/>
      <c r="C37" s="407" t="s">
        <v>225</v>
      </c>
      <c r="D37" s="401"/>
      <c r="E37" s="890" t="s">
        <v>12</v>
      </c>
      <c r="F37" s="890"/>
      <c r="G37" s="366"/>
      <c r="I37" s="494" t="s">
        <v>109</v>
      </c>
      <c r="J37" s="357"/>
      <c r="K37" s="404"/>
    </row>
    <row r="38" spans="1:11" ht="15" customHeight="1">
      <c r="A38" s="408"/>
      <c r="C38" s="409" t="s">
        <v>13</v>
      </c>
      <c r="D38" s="410"/>
      <c r="E38" s="884" t="s">
        <v>13</v>
      </c>
      <c r="F38" s="884"/>
      <c r="G38" s="366"/>
      <c r="I38" s="495" t="s">
        <v>136</v>
      </c>
      <c r="J38" s="493"/>
      <c r="K38" s="408"/>
    </row>
    <row r="39" spans="1:11" ht="15">
      <c r="A39" s="408"/>
      <c r="C39" s="409"/>
      <c r="D39" s="401"/>
      <c r="E39" s="411"/>
      <c r="F39" s="412"/>
      <c r="G39" s="366"/>
      <c r="H39" s="408"/>
      <c r="I39" s="408"/>
      <c r="J39" s="408"/>
      <c r="K39" s="408"/>
    </row>
    <row r="40" spans="1:11" ht="15">
      <c r="A40" s="408"/>
      <c r="B40" s="409"/>
      <c r="C40" s="408"/>
      <c r="D40" s="401"/>
      <c r="E40" s="411"/>
      <c r="F40" s="412"/>
      <c r="G40" s="366"/>
      <c r="H40" s="408"/>
      <c r="I40" s="408"/>
      <c r="J40" s="408"/>
      <c r="K40" s="408"/>
    </row>
    <row r="41" spans="1:11" ht="15">
      <c r="A41" s="408"/>
      <c r="B41" s="409"/>
      <c r="C41" s="408"/>
      <c r="D41" s="401"/>
      <c r="E41" s="411"/>
      <c r="F41" s="412"/>
      <c r="G41" s="366"/>
      <c r="H41" s="408"/>
      <c r="I41" s="408"/>
      <c r="J41" s="408"/>
      <c r="K41" s="408"/>
    </row>
    <row r="46" spans="1:11" ht="15">
      <c r="C46" s="496" t="s">
        <v>267</v>
      </c>
      <c r="H46" s="492"/>
      <c r="I46" s="491" t="s">
        <v>103</v>
      </c>
      <c r="J46" s="492"/>
    </row>
  </sheetData>
  <mergeCells count="13">
    <mergeCell ref="E38:F38"/>
    <mergeCell ref="G10:I10"/>
    <mergeCell ref="J10:J11"/>
    <mergeCell ref="A35:E35"/>
    <mergeCell ref="E37:F37"/>
    <mergeCell ref="F10:F11"/>
    <mergeCell ref="F2:J3"/>
    <mergeCell ref="F1:J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Z185"/>
  <sheetViews>
    <sheetView topLeftCell="A6" workbookViewId="0">
      <pane ySplit="1" topLeftCell="A29" activePane="bottomLeft" state="frozen"/>
      <selection activeCell="A6" sqref="A6"/>
      <selection pane="bottomLeft" activeCell="J7" sqref="J7"/>
    </sheetView>
  </sheetViews>
  <sheetFormatPr defaultColWidth="10.28515625" defaultRowHeight="12.75"/>
  <cols>
    <col min="1" max="1" width="4.7109375" style="641" customWidth="1"/>
    <col min="2" max="2" width="26.85546875" style="641" customWidth="1"/>
    <col min="3" max="3" width="12.140625" style="641" customWidth="1"/>
    <col min="4" max="4" width="11" style="641" customWidth="1"/>
    <col min="5" max="5" width="9.7109375" style="641" customWidth="1"/>
    <col min="6" max="6" width="11.140625" style="641" customWidth="1"/>
    <col min="7" max="7" width="13.7109375" style="419" hidden="1" customWidth="1"/>
    <col min="8" max="8" width="12" style="641" customWidth="1"/>
    <col min="9" max="10" width="7.42578125" style="641" customWidth="1"/>
    <col min="11" max="11" width="7.140625" style="651" customWidth="1"/>
    <col min="12" max="12" width="2" style="651" customWidth="1"/>
    <col min="13" max="13" width="23" style="641" customWidth="1"/>
    <col min="14" max="14" width="10.140625" style="652" customWidth="1"/>
    <col min="15" max="15" width="6.42578125" style="653" hidden="1" customWidth="1"/>
    <col min="16" max="16" width="7" style="681" customWidth="1"/>
    <col min="17" max="17" width="7.5703125" style="281" customWidth="1"/>
    <col min="18" max="18" width="12.42578125" style="641" customWidth="1"/>
    <col min="19" max="19" width="15.85546875" style="641" customWidth="1"/>
    <col min="20" max="20" width="8.28515625" style="652" customWidth="1"/>
    <col min="21" max="21" width="8.28515625" style="652" hidden="1" customWidth="1"/>
    <col min="22" max="22" width="7.5703125" style="281" customWidth="1"/>
    <col min="23" max="23" width="9" style="281" customWidth="1"/>
    <col min="24" max="24" width="9.7109375" style="641" customWidth="1"/>
    <col min="25" max="25" width="10.28515625" style="641" customWidth="1"/>
    <col min="26" max="16384" width="10.28515625" style="641"/>
  </cols>
  <sheetData>
    <row r="1" spans="1:26">
      <c r="B1" s="641">
        <v>1</v>
      </c>
      <c r="C1" s="641">
        <v>5</v>
      </c>
      <c r="D1" s="641">
        <v>6</v>
      </c>
      <c r="E1" s="641">
        <v>7</v>
      </c>
      <c r="F1" s="641">
        <v>8</v>
      </c>
      <c r="G1" s="419">
        <v>12</v>
      </c>
      <c r="H1" s="641">
        <v>13</v>
      </c>
      <c r="I1" s="641">
        <v>14</v>
      </c>
      <c r="J1" s="641">
        <v>15</v>
      </c>
    </row>
    <row r="2" spans="1:26" ht="18" customHeight="1">
      <c r="A2" s="475" t="str">
        <f>TH!$A$1</f>
        <v>Đơn vị: CÔNG TY TNHH MỘT THÀNH VIÊN KHỞI NGUYÊN AN</v>
      </c>
      <c r="B2" s="642"/>
      <c r="C2" s="281"/>
      <c r="D2" s="281"/>
      <c r="E2" s="281"/>
      <c r="F2" s="281"/>
      <c r="G2" s="420"/>
      <c r="H2" s="281"/>
      <c r="I2" s="503"/>
      <c r="J2" s="281"/>
      <c r="K2" s="654"/>
      <c r="L2" s="654"/>
      <c r="M2" s="281"/>
      <c r="N2" s="637"/>
      <c r="S2" s="281"/>
      <c r="T2" s="637"/>
      <c r="U2" s="637"/>
    </row>
    <row r="3" spans="1:26" ht="18.75" customHeight="1">
      <c r="A3" s="643" t="s">
        <v>591</v>
      </c>
      <c r="B3" s="643"/>
      <c r="C3" s="643"/>
      <c r="D3" s="643"/>
      <c r="E3" s="643"/>
      <c r="F3" s="643"/>
      <c r="G3" s="421"/>
      <c r="H3" s="643"/>
      <c r="I3" s="643"/>
      <c r="J3" s="643"/>
      <c r="K3" s="654"/>
      <c r="L3" s="654"/>
      <c r="M3" s="281"/>
      <c r="N3" s="637"/>
      <c r="S3" s="281"/>
      <c r="T3" s="637"/>
      <c r="U3" s="637"/>
    </row>
    <row r="4" spans="1:26" ht="18.75" customHeight="1">
      <c r="A4" s="643"/>
      <c r="B4" s="644"/>
      <c r="C4" s="644"/>
      <c r="D4" s="644"/>
      <c r="E4" s="644"/>
      <c r="F4" s="644"/>
      <c r="G4" s="422"/>
      <c r="H4" s="644"/>
      <c r="I4" s="655"/>
      <c r="J4" s="644"/>
      <c r="K4" s="654"/>
      <c r="L4" s="654"/>
      <c r="M4" s="281"/>
      <c r="N4" s="637"/>
      <c r="S4" s="281"/>
      <c r="T4" s="637"/>
      <c r="U4" s="637"/>
    </row>
    <row r="5" spans="1:26" ht="12.75" customHeight="1">
      <c r="A5" s="679"/>
      <c r="B5" s="672"/>
      <c r="C5" s="672"/>
      <c r="D5" s="672"/>
      <c r="E5" s="672"/>
      <c r="F5" s="672"/>
      <c r="G5" s="423"/>
      <c r="H5" s="672"/>
      <c r="I5" s="656"/>
      <c r="J5" s="672"/>
      <c r="K5" s="654"/>
      <c r="L5" s="654"/>
      <c r="M5" s="650"/>
      <c r="N5" s="679"/>
      <c r="O5" s="679"/>
      <c r="P5" s="682"/>
      <c r="Q5" s="657"/>
      <c r="R5" s="679"/>
      <c r="S5" s="679"/>
      <c r="T5" s="679"/>
      <c r="U5" s="679"/>
      <c r="V5" s="679"/>
      <c r="W5" s="679"/>
      <c r="X5" s="679"/>
      <c r="Y5" s="650"/>
      <c r="Z5" s="650"/>
    </row>
    <row r="6" spans="1:26" s="429" customFormat="1" ht="42" customHeight="1">
      <c r="A6" s="424" t="s">
        <v>35</v>
      </c>
      <c r="B6" s="424" t="s">
        <v>226</v>
      </c>
      <c r="C6" s="425" t="s">
        <v>230</v>
      </c>
      <c r="D6" s="425" t="s">
        <v>304</v>
      </c>
      <c r="E6" s="425" t="s">
        <v>231</v>
      </c>
      <c r="F6" s="425" t="s">
        <v>299</v>
      </c>
      <c r="G6" s="426" t="s">
        <v>232</v>
      </c>
      <c r="H6" s="425" t="s">
        <v>233</v>
      </c>
      <c r="I6" s="427" t="s">
        <v>228</v>
      </c>
      <c r="J6" s="425" t="s">
        <v>234</v>
      </c>
      <c r="K6" s="428"/>
      <c r="L6" s="428"/>
      <c r="M6" s="424" t="s">
        <v>226</v>
      </c>
      <c r="N6" s="425" t="s">
        <v>220</v>
      </c>
      <c r="O6" s="638" t="s">
        <v>227</v>
      </c>
      <c r="P6" s="683" t="s">
        <v>187</v>
      </c>
      <c r="Q6" s="425" t="s">
        <v>229</v>
      </c>
      <c r="R6" s="425" t="s">
        <v>235</v>
      </c>
      <c r="S6" s="424" t="s">
        <v>226</v>
      </c>
      <c r="T6" s="425" t="s">
        <v>220</v>
      </c>
      <c r="U6" s="425"/>
      <c r="V6" s="425" t="s">
        <v>187</v>
      </c>
      <c r="W6" s="425" t="s">
        <v>229</v>
      </c>
      <c r="X6" s="424" t="s">
        <v>235</v>
      </c>
    </row>
    <row r="7" spans="1:26" ht="18" customHeight="1">
      <c r="A7" s="735">
        <f>IF(B7&lt;&gt;"",ROW()-(ROW()-1),"")</f>
        <v>1</v>
      </c>
      <c r="B7" s="284" t="s">
        <v>537</v>
      </c>
      <c r="C7" s="25">
        <f>R7</f>
        <v>9354400</v>
      </c>
      <c r="D7" s="645">
        <f t="shared" ref="D7:F16" si="0">IF($I$37&lt;&gt;0,D$37/$I$37*$I7,0)</f>
        <v>0</v>
      </c>
      <c r="E7" s="645">
        <f t="shared" si="0"/>
        <v>2922022.2833873769</v>
      </c>
      <c r="F7" s="645">
        <f t="shared" si="0"/>
        <v>1088306.4060025639</v>
      </c>
      <c r="G7" s="341"/>
      <c r="H7" s="25">
        <f>SUM(C7:F7)+2</f>
        <v>13364730.689389942</v>
      </c>
      <c r="I7" s="645">
        <v>22750</v>
      </c>
      <c r="J7" s="645">
        <f>IF(I7&lt;&gt;"",H7/I7,"")</f>
        <v>587.46068964351389</v>
      </c>
      <c r="K7" s="560">
        <v>900</v>
      </c>
      <c r="L7" s="658"/>
      <c r="M7" s="431" t="s">
        <v>451</v>
      </c>
      <c r="N7" s="660"/>
      <c r="O7" s="660"/>
      <c r="P7" s="673">
        <v>800</v>
      </c>
      <c r="Q7" s="673">
        <v>11693</v>
      </c>
      <c r="R7" s="25">
        <f>ROUND(P7*Q7,0)</f>
        <v>9354400</v>
      </c>
      <c r="S7" s="430"/>
      <c r="T7" s="659"/>
      <c r="U7" s="659"/>
      <c r="V7" s="675"/>
      <c r="W7" s="675"/>
      <c r="X7" s="25">
        <f>V7*W7</f>
        <v>0</v>
      </c>
    </row>
    <row r="8" spans="1:26" ht="18" customHeight="1">
      <c r="A8" s="735">
        <f t="shared" ref="A8:A16" si="1">IF(B8&lt;&gt;"",A7+1,"")</f>
        <v>2</v>
      </c>
      <c r="B8" s="284" t="s">
        <v>586</v>
      </c>
      <c r="C8" s="25">
        <f>R8</f>
        <v>1146600</v>
      </c>
      <c r="D8" s="645">
        <f t="shared" si="0"/>
        <v>0</v>
      </c>
      <c r="E8" s="645">
        <f t="shared" si="0"/>
        <v>7706.4323957469278</v>
      </c>
      <c r="F8" s="645">
        <f t="shared" si="0"/>
        <v>2870.2586531935754</v>
      </c>
      <c r="G8" s="341"/>
      <c r="H8" s="25">
        <f t="shared" ref="H8:H35" si="2">SUM(C8:F8)</f>
        <v>1157176.6910489404</v>
      </c>
      <c r="I8" s="248">
        <v>60</v>
      </c>
      <c r="J8" s="645">
        <f>IF(I8&lt;&gt;"",H8/I8,"")</f>
        <v>19286.278184149007</v>
      </c>
      <c r="K8" s="560">
        <v>88860</v>
      </c>
      <c r="L8" s="658"/>
      <c r="M8" s="431" t="s">
        <v>452</v>
      </c>
      <c r="N8" s="660"/>
      <c r="O8" s="660"/>
      <c r="P8" s="673">
        <f>320-260</f>
        <v>60</v>
      </c>
      <c r="Q8" s="673">
        <v>19110</v>
      </c>
      <c r="R8" s="8">
        <f t="shared" ref="R8" si="3">ROUND(P8*Q8,0)</f>
        <v>1146600</v>
      </c>
      <c r="S8" s="431"/>
      <c r="T8" s="660"/>
      <c r="U8" s="660"/>
      <c r="V8" s="673"/>
      <c r="W8" s="673"/>
      <c r="X8" s="8">
        <f>V8*W8</f>
        <v>0</v>
      </c>
    </row>
    <row r="9" spans="1:26" ht="18" customHeight="1">
      <c r="A9" s="735">
        <f t="shared" si="1"/>
        <v>3</v>
      </c>
      <c r="B9" s="284" t="s">
        <v>545</v>
      </c>
      <c r="C9" s="25">
        <f t="shared" ref="C9:C35" si="4">R9</f>
        <v>14037750</v>
      </c>
      <c r="D9" s="645">
        <f t="shared" si="0"/>
        <v>0</v>
      </c>
      <c r="E9" s="645">
        <f t="shared" si="0"/>
        <v>424239.10338586837</v>
      </c>
      <c r="F9" s="645">
        <f t="shared" si="0"/>
        <v>158007.73885830631</v>
      </c>
      <c r="G9" s="341"/>
      <c r="H9" s="25">
        <f t="shared" si="2"/>
        <v>14619996.842244174</v>
      </c>
      <c r="I9" s="645">
        <v>3303</v>
      </c>
      <c r="J9" s="645">
        <f t="shared" ref="J9:J35" si="5">IF(I9&lt;&gt;"",H9/I9,"")</f>
        <v>4426.2781841490087</v>
      </c>
      <c r="K9" s="560">
        <v>5150</v>
      </c>
      <c r="L9" s="658"/>
      <c r="M9" s="431" t="s">
        <v>426</v>
      </c>
      <c r="N9" s="660"/>
      <c r="O9" s="660"/>
      <c r="P9" s="673">
        <v>1101</v>
      </c>
      <c r="Q9" s="673">
        <v>12750</v>
      </c>
      <c r="R9" s="8">
        <f t="shared" ref="R9:R35" si="6">ROUND(P9*Q9,0)</f>
        <v>14037750</v>
      </c>
      <c r="S9" s="431"/>
      <c r="T9" s="660"/>
      <c r="U9" s="660"/>
      <c r="V9" s="673"/>
      <c r="W9" s="673"/>
      <c r="X9" s="8">
        <f t="shared" ref="X9:X35" si="7">V9*W9</f>
        <v>0</v>
      </c>
    </row>
    <row r="10" spans="1:26" ht="18" customHeight="1">
      <c r="A10" s="735">
        <f t="shared" si="1"/>
        <v>4</v>
      </c>
      <c r="B10" s="284" t="s">
        <v>569</v>
      </c>
      <c r="C10" s="25">
        <f t="shared" si="4"/>
        <v>4612800</v>
      </c>
      <c r="D10" s="645">
        <f t="shared" si="0"/>
        <v>0</v>
      </c>
      <c r="E10" s="645">
        <f t="shared" si="0"/>
        <v>102752.43194329237</v>
      </c>
      <c r="F10" s="645">
        <f t="shared" si="0"/>
        <v>38270.115375914334</v>
      </c>
      <c r="G10" s="341"/>
      <c r="H10" s="25">
        <f t="shared" si="2"/>
        <v>4753822.5473192073</v>
      </c>
      <c r="I10" s="248">
        <v>800</v>
      </c>
      <c r="J10" s="645">
        <f t="shared" si="5"/>
        <v>5942.2781841490096</v>
      </c>
      <c r="K10" s="560">
        <v>5320</v>
      </c>
      <c r="L10" s="658"/>
      <c r="M10" s="431" t="s">
        <v>465</v>
      </c>
      <c r="N10" s="660"/>
      <c r="O10" s="660"/>
      <c r="P10" s="673">
        <v>400</v>
      </c>
      <c r="Q10" s="673">
        <v>11532</v>
      </c>
      <c r="R10" s="8">
        <f t="shared" si="6"/>
        <v>4612800</v>
      </c>
      <c r="S10" s="431"/>
      <c r="T10" s="660"/>
      <c r="U10" s="660"/>
      <c r="V10" s="673"/>
      <c r="W10" s="673"/>
      <c r="X10" s="8">
        <f t="shared" si="7"/>
        <v>0</v>
      </c>
    </row>
    <row r="11" spans="1:26" ht="18" customHeight="1">
      <c r="A11" s="735">
        <f t="shared" si="1"/>
        <v>5</v>
      </c>
      <c r="B11" s="284" t="s">
        <v>581</v>
      </c>
      <c r="C11" s="25">
        <f t="shared" si="4"/>
        <v>1302000</v>
      </c>
      <c r="D11" s="645">
        <f t="shared" si="0"/>
        <v>0</v>
      </c>
      <c r="E11" s="645">
        <f t="shared" si="0"/>
        <v>12844.053992911546</v>
      </c>
      <c r="F11" s="645">
        <f t="shared" si="0"/>
        <v>4783.7644219892918</v>
      </c>
      <c r="G11" s="341"/>
      <c r="H11" s="25">
        <f t="shared" si="2"/>
        <v>1319627.8184149007</v>
      </c>
      <c r="I11" s="645">
        <v>100</v>
      </c>
      <c r="J11" s="645">
        <f t="shared" si="5"/>
        <v>13196.278184149007</v>
      </c>
      <c r="K11" s="560">
        <v>18550</v>
      </c>
      <c r="L11" s="658"/>
      <c r="M11" s="431" t="s">
        <v>423</v>
      </c>
      <c r="N11" s="660"/>
      <c r="O11" s="660"/>
      <c r="P11" s="673">
        <v>100</v>
      </c>
      <c r="Q11" s="673">
        <v>13020</v>
      </c>
      <c r="R11" s="8">
        <f t="shared" si="6"/>
        <v>1302000</v>
      </c>
      <c r="S11" s="431"/>
      <c r="T11" s="660"/>
      <c r="U11" s="660"/>
      <c r="V11" s="673"/>
      <c r="W11" s="673"/>
      <c r="X11" s="8">
        <f t="shared" si="7"/>
        <v>0</v>
      </c>
    </row>
    <row r="12" spans="1:26" ht="18" customHeight="1">
      <c r="A12" s="735">
        <f t="shared" si="1"/>
        <v>6</v>
      </c>
      <c r="B12" s="284" t="s">
        <v>584</v>
      </c>
      <c r="C12" s="25">
        <f t="shared" si="4"/>
        <v>520800</v>
      </c>
      <c r="D12" s="645">
        <f t="shared" si="0"/>
        <v>0</v>
      </c>
      <c r="E12" s="645">
        <f t="shared" si="0"/>
        <v>5137.6215971646179</v>
      </c>
      <c r="F12" s="645">
        <f t="shared" si="0"/>
        <v>1913.5057687957169</v>
      </c>
      <c r="G12" s="341"/>
      <c r="H12" s="25">
        <f t="shared" si="2"/>
        <v>527851.12736596039</v>
      </c>
      <c r="I12" s="248">
        <v>40</v>
      </c>
      <c r="J12" s="645">
        <f t="shared" si="5"/>
        <v>13196.27818414901</v>
      </c>
      <c r="K12" s="560">
        <v>38150</v>
      </c>
      <c r="L12" s="658"/>
      <c r="M12" s="431" t="s">
        <v>423</v>
      </c>
      <c r="N12" s="660"/>
      <c r="O12" s="660"/>
      <c r="P12" s="673">
        <v>40</v>
      </c>
      <c r="Q12" s="673">
        <v>13020</v>
      </c>
      <c r="R12" s="8">
        <f t="shared" si="6"/>
        <v>520800</v>
      </c>
      <c r="S12" s="431"/>
      <c r="T12" s="660"/>
      <c r="U12" s="660"/>
      <c r="V12" s="673"/>
      <c r="W12" s="673"/>
      <c r="X12" s="8">
        <f t="shared" si="7"/>
        <v>0</v>
      </c>
    </row>
    <row r="13" spans="1:26" ht="18" customHeight="1">
      <c r="A13" s="735">
        <f t="shared" si="1"/>
        <v>7</v>
      </c>
      <c r="B13" s="284" t="s">
        <v>582</v>
      </c>
      <c r="C13" s="25">
        <f t="shared" si="4"/>
        <v>2343600</v>
      </c>
      <c r="D13" s="645">
        <f t="shared" si="0"/>
        <v>0</v>
      </c>
      <c r="E13" s="645">
        <f t="shared" si="0"/>
        <v>23119.297187240783</v>
      </c>
      <c r="F13" s="645">
        <f t="shared" si="0"/>
        <v>8610.7759595807256</v>
      </c>
      <c r="G13" s="341"/>
      <c r="H13" s="25">
        <f t="shared" si="2"/>
        <v>2375330.0731468215</v>
      </c>
      <c r="I13" s="645">
        <v>180</v>
      </c>
      <c r="J13" s="645">
        <f t="shared" si="5"/>
        <v>13196.278184149009</v>
      </c>
      <c r="K13" s="560">
        <v>24000</v>
      </c>
      <c r="L13" s="658"/>
      <c r="M13" s="431" t="s">
        <v>423</v>
      </c>
      <c r="N13" s="660"/>
      <c r="O13" s="660"/>
      <c r="P13" s="673">
        <v>180</v>
      </c>
      <c r="Q13" s="673">
        <v>13020</v>
      </c>
      <c r="R13" s="8">
        <f t="shared" si="6"/>
        <v>2343600</v>
      </c>
      <c r="S13" s="431"/>
      <c r="T13" s="660"/>
      <c r="U13" s="660"/>
      <c r="V13" s="673"/>
      <c r="W13" s="673"/>
      <c r="X13" s="8">
        <f t="shared" si="7"/>
        <v>0</v>
      </c>
    </row>
    <row r="14" spans="1:26" ht="18" customHeight="1">
      <c r="A14" s="735">
        <f t="shared" si="1"/>
        <v>8</v>
      </c>
      <c r="B14" s="284" t="s">
        <v>579</v>
      </c>
      <c r="C14" s="25">
        <f t="shared" si="4"/>
        <v>2343600</v>
      </c>
      <c r="D14" s="645">
        <f t="shared" si="0"/>
        <v>0</v>
      </c>
      <c r="E14" s="645">
        <f t="shared" si="0"/>
        <v>23119.297187240783</v>
      </c>
      <c r="F14" s="645">
        <f t="shared" si="0"/>
        <v>8610.7759595807256</v>
      </c>
      <c r="G14" s="341"/>
      <c r="H14" s="25">
        <f t="shared" si="2"/>
        <v>2375330.0731468215</v>
      </c>
      <c r="I14" s="248">
        <v>180</v>
      </c>
      <c r="J14" s="645">
        <f t="shared" si="5"/>
        <v>13196.278184149009</v>
      </c>
      <c r="K14" s="560">
        <v>24201</v>
      </c>
      <c r="L14" s="658"/>
      <c r="M14" s="431" t="s">
        <v>423</v>
      </c>
      <c r="N14" s="660"/>
      <c r="O14" s="660"/>
      <c r="P14" s="673">
        <v>180</v>
      </c>
      <c r="Q14" s="673">
        <v>13020</v>
      </c>
      <c r="R14" s="8">
        <f t="shared" si="6"/>
        <v>2343600</v>
      </c>
      <c r="S14" s="431"/>
      <c r="T14" s="660"/>
      <c r="U14" s="660"/>
      <c r="V14" s="673"/>
      <c r="W14" s="673"/>
      <c r="X14" s="8">
        <f t="shared" si="7"/>
        <v>0</v>
      </c>
    </row>
    <row r="15" spans="1:26" ht="18" customHeight="1">
      <c r="A15" s="735">
        <f t="shared" si="1"/>
        <v>9</v>
      </c>
      <c r="B15" s="284" t="s">
        <v>543</v>
      </c>
      <c r="C15" s="25">
        <f t="shared" si="4"/>
        <v>6122620</v>
      </c>
      <c r="D15" s="645">
        <f t="shared" si="0"/>
        <v>0</v>
      </c>
      <c r="E15" s="645">
        <f t="shared" si="0"/>
        <v>129724.94532840661</v>
      </c>
      <c r="F15" s="645">
        <f t="shared" si="0"/>
        <v>48316.020662091854</v>
      </c>
      <c r="G15" s="341"/>
      <c r="H15" s="25">
        <f t="shared" si="2"/>
        <v>6300660.9659904987</v>
      </c>
      <c r="I15" s="645">
        <v>1010</v>
      </c>
      <c r="J15" s="645">
        <f t="shared" si="5"/>
        <v>6238.2781841490087</v>
      </c>
      <c r="K15" s="560">
        <v>6200</v>
      </c>
      <c r="L15" s="658"/>
      <c r="M15" s="431" t="s">
        <v>425</v>
      </c>
      <c r="N15" s="660"/>
      <c r="O15" s="660"/>
      <c r="P15" s="673">
        <v>505</v>
      </c>
      <c r="Q15" s="673">
        <v>12124</v>
      </c>
      <c r="R15" s="8">
        <f t="shared" si="6"/>
        <v>6122620</v>
      </c>
      <c r="S15" s="431"/>
      <c r="T15" s="660"/>
      <c r="U15" s="660"/>
      <c r="V15" s="673"/>
      <c r="W15" s="673"/>
      <c r="X15" s="8">
        <f t="shared" si="7"/>
        <v>0</v>
      </c>
    </row>
    <row r="16" spans="1:26" ht="18" customHeight="1">
      <c r="A16" s="735">
        <f t="shared" si="1"/>
        <v>10</v>
      </c>
      <c r="B16" s="284" t="s">
        <v>541</v>
      </c>
      <c r="C16" s="25">
        <f>R16+R17+R18</f>
        <v>16579082</v>
      </c>
      <c r="D16" s="645">
        <f t="shared" si="0"/>
        <v>0</v>
      </c>
      <c r="E16" s="645">
        <f t="shared" si="0"/>
        <v>398679.43593997438</v>
      </c>
      <c r="F16" s="645">
        <f t="shared" si="0"/>
        <v>148488.04765854764</v>
      </c>
      <c r="G16" s="341"/>
      <c r="H16" s="25">
        <f t="shared" si="2"/>
        <v>17126249.483598523</v>
      </c>
      <c r="I16" s="248">
        <v>3104</v>
      </c>
      <c r="J16" s="645">
        <f t="shared" si="5"/>
        <v>5517.4772820871531</v>
      </c>
      <c r="K16" s="560">
        <v>6341.3492268041236</v>
      </c>
      <c r="L16" s="658"/>
      <c r="M16" s="431" t="s">
        <v>467</v>
      </c>
      <c r="N16" s="660"/>
      <c r="O16" s="660"/>
      <c r="P16" s="673">
        <v>750</v>
      </c>
      <c r="Q16" s="673">
        <v>9672</v>
      </c>
      <c r="R16" s="8">
        <f t="shared" si="6"/>
        <v>7254000</v>
      </c>
      <c r="S16" s="431"/>
      <c r="T16" s="660"/>
      <c r="U16" s="660"/>
      <c r="V16" s="673"/>
      <c r="W16" s="673"/>
      <c r="X16" s="8">
        <f t="shared" si="7"/>
        <v>0</v>
      </c>
    </row>
    <row r="17" spans="1:24" ht="18" hidden="1" customHeight="1">
      <c r="A17" s="735"/>
      <c r="B17" s="284"/>
      <c r="C17" s="25"/>
      <c r="D17" s="645"/>
      <c r="E17" s="645"/>
      <c r="F17" s="645"/>
      <c r="G17" s="341"/>
      <c r="H17" s="25"/>
      <c r="I17" s="645"/>
      <c r="J17" s="645"/>
      <c r="K17" s="560"/>
      <c r="L17" s="658"/>
      <c r="M17" s="431" t="s">
        <v>422</v>
      </c>
      <c r="N17" s="660"/>
      <c r="O17" s="660"/>
      <c r="P17" s="673">
        <f>2000-1588</f>
        <v>412</v>
      </c>
      <c r="Q17" s="673">
        <v>10286</v>
      </c>
      <c r="R17" s="8">
        <f t="shared" si="6"/>
        <v>4237832</v>
      </c>
      <c r="S17" s="431"/>
      <c r="T17" s="660"/>
      <c r="U17" s="660"/>
      <c r="V17" s="673"/>
      <c r="W17" s="673"/>
      <c r="X17" s="8"/>
    </row>
    <row r="18" spans="1:24" ht="18" hidden="1" customHeight="1">
      <c r="A18" s="735"/>
      <c r="B18" s="284"/>
      <c r="C18" s="25"/>
      <c r="D18" s="645"/>
      <c r="E18" s="645"/>
      <c r="F18" s="645"/>
      <c r="G18" s="341"/>
      <c r="H18" s="25"/>
      <c r="I18" s="645"/>
      <c r="J18" s="645"/>
      <c r="K18" s="560"/>
      <c r="L18" s="658"/>
      <c r="M18" s="431" t="s">
        <v>426</v>
      </c>
      <c r="N18" s="660"/>
      <c r="O18" s="660"/>
      <c r="P18" s="673">
        <f>1500-1101</f>
        <v>399</v>
      </c>
      <c r="Q18" s="673">
        <v>12750</v>
      </c>
      <c r="R18" s="8">
        <f t="shared" si="6"/>
        <v>5087250</v>
      </c>
      <c r="S18" s="431"/>
      <c r="T18" s="660"/>
      <c r="U18" s="660"/>
      <c r="V18" s="673"/>
      <c r="W18" s="673"/>
      <c r="X18" s="8"/>
    </row>
    <row r="19" spans="1:24" ht="18" customHeight="1">
      <c r="A19" s="735">
        <f>IF(B19&lt;&gt;"",A16+1,"")</f>
        <v>11</v>
      </c>
      <c r="B19" s="284" t="s">
        <v>549</v>
      </c>
      <c r="C19" s="25">
        <f>R19+R20</f>
        <v>15407760</v>
      </c>
      <c r="D19" s="645">
        <f>IF($I$37&lt;&gt;0,D$37/$I$37*$I19,0)</f>
        <v>0</v>
      </c>
      <c r="E19" s="645">
        <f>IF($I$37&lt;&gt;0,E$37/$I$37*$I19,0)</f>
        <v>362202.3226001056</v>
      </c>
      <c r="F19" s="645">
        <f>IF($I$37&lt;&gt;0,F$37/$I$37*$I19,0)</f>
        <v>134902.15670009804</v>
      </c>
      <c r="G19" s="341"/>
      <c r="H19" s="25">
        <f t="shared" si="2"/>
        <v>15904864.479300205</v>
      </c>
      <c r="I19" s="645">
        <v>2820</v>
      </c>
      <c r="J19" s="645">
        <f t="shared" si="5"/>
        <v>5640.0228650000727</v>
      </c>
      <c r="K19" s="560">
        <v>5800</v>
      </c>
      <c r="L19" s="658"/>
      <c r="M19" s="431" t="s">
        <v>465</v>
      </c>
      <c r="N19" s="660"/>
      <c r="O19" s="660"/>
      <c r="P19" s="673">
        <f>550-400</f>
        <v>150</v>
      </c>
      <c r="Q19" s="673">
        <v>11532</v>
      </c>
      <c r="R19" s="8">
        <f t="shared" si="6"/>
        <v>1729800</v>
      </c>
      <c r="S19" s="431"/>
      <c r="T19" s="660"/>
      <c r="U19" s="660"/>
      <c r="V19" s="673"/>
      <c r="W19" s="673"/>
      <c r="X19" s="8">
        <f t="shared" si="7"/>
        <v>0</v>
      </c>
    </row>
    <row r="20" spans="1:24" ht="18" hidden="1" customHeight="1">
      <c r="A20" s="735"/>
      <c r="B20" s="284"/>
      <c r="C20" s="25"/>
      <c r="D20" s="645"/>
      <c r="E20" s="645"/>
      <c r="F20" s="645"/>
      <c r="G20" s="341"/>
      <c r="H20" s="25"/>
      <c r="I20" s="645"/>
      <c r="J20" s="645"/>
      <c r="K20" s="560"/>
      <c r="L20" s="658"/>
      <c r="M20" s="431" t="s">
        <v>400</v>
      </c>
      <c r="N20" s="660"/>
      <c r="O20" s="660"/>
      <c r="P20" s="673">
        <v>1260</v>
      </c>
      <c r="Q20" s="673">
        <v>10855.523809523809</v>
      </c>
      <c r="R20" s="8">
        <f t="shared" si="6"/>
        <v>13677960</v>
      </c>
      <c r="S20" s="431"/>
      <c r="T20" s="660"/>
      <c r="U20" s="660"/>
      <c r="V20" s="673"/>
      <c r="W20" s="673"/>
      <c r="X20" s="8"/>
    </row>
    <row r="21" spans="1:24" ht="18" customHeight="1">
      <c r="A21" s="735">
        <f>IF(B21&lt;&gt;"",A19+1,"")</f>
        <v>12</v>
      </c>
      <c r="B21" s="284" t="s">
        <v>547</v>
      </c>
      <c r="C21" s="25">
        <f>R21+R22</f>
        <v>24179752</v>
      </c>
      <c r="D21" s="645">
        <f>IF($I$37&lt;&gt;0,D$37/$I$37*$I21,0)</f>
        <v>0</v>
      </c>
      <c r="E21" s="645">
        <f>IF($I$37&lt;&gt;0,E$37/$I$37*$I21,0)</f>
        <v>599175.11876932357</v>
      </c>
      <c r="F21" s="645">
        <f>IF($I$37&lt;&gt;0,F$37/$I$37*$I21,0)</f>
        <v>223162.61028580047</v>
      </c>
      <c r="G21" s="341"/>
      <c r="H21" s="25">
        <f t="shared" si="2"/>
        <v>25002089.729055125</v>
      </c>
      <c r="I21" s="248">
        <v>4665</v>
      </c>
      <c r="J21" s="645">
        <f t="shared" si="5"/>
        <v>5359.5047650707666</v>
      </c>
      <c r="K21" s="560">
        <v>6217.1489817792071</v>
      </c>
      <c r="L21" s="658"/>
      <c r="M21" s="431" t="s">
        <v>394</v>
      </c>
      <c r="N21" s="660"/>
      <c r="O21" s="660"/>
      <c r="P21" s="673">
        <f>600-317</f>
        <v>283</v>
      </c>
      <c r="Q21" s="673">
        <v>10844</v>
      </c>
      <c r="R21" s="8">
        <f t="shared" si="6"/>
        <v>3068852</v>
      </c>
      <c r="S21" s="431"/>
      <c r="T21" s="660"/>
      <c r="U21" s="660"/>
      <c r="V21" s="673"/>
      <c r="W21" s="673"/>
      <c r="X21" s="8">
        <f t="shared" si="7"/>
        <v>0</v>
      </c>
    </row>
    <row r="22" spans="1:24" ht="18" hidden="1" customHeight="1">
      <c r="A22" s="735"/>
      <c r="B22" s="284"/>
      <c r="C22" s="25"/>
      <c r="D22" s="645"/>
      <c r="E22" s="645"/>
      <c r="F22" s="645"/>
      <c r="G22" s="341"/>
      <c r="H22" s="25"/>
      <c r="I22" s="645"/>
      <c r="J22" s="645"/>
      <c r="K22" s="560"/>
      <c r="L22" s="658"/>
      <c r="M22" s="431" t="s">
        <v>399</v>
      </c>
      <c r="N22" s="660"/>
      <c r="O22" s="660"/>
      <c r="P22" s="673">
        <v>2050</v>
      </c>
      <c r="Q22" s="673">
        <v>10298</v>
      </c>
      <c r="R22" s="8">
        <f t="shared" si="6"/>
        <v>21110900</v>
      </c>
      <c r="S22" s="431"/>
      <c r="T22" s="660"/>
      <c r="U22" s="660"/>
      <c r="V22" s="673"/>
      <c r="W22" s="673"/>
      <c r="X22" s="8"/>
    </row>
    <row r="23" spans="1:24" ht="18" customHeight="1">
      <c r="A23" s="735">
        <f>IF(B23&lt;&gt;"",A21+1,"")</f>
        <v>13</v>
      </c>
      <c r="B23" s="284" t="s">
        <v>539</v>
      </c>
      <c r="C23" s="25">
        <f t="shared" si="4"/>
        <v>6341552</v>
      </c>
      <c r="D23" s="645">
        <f t="shared" ref="D23:F35" si="8">IF($I$37&lt;&gt;0,D$37/$I$37*$I23,0)</f>
        <v>0</v>
      </c>
      <c r="E23" s="645">
        <f t="shared" si="8"/>
        <v>147321.29929869543</v>
      </c>
      <c r="F23" s="645">
        <f t="shared" si="8"/>
        <v>54869.777920217181</v>
      </c>
      <c r="G23" s="341"/>
      <c r="H23" s="25">
        <f t="shared" si="2"/>
        <v>6543743.0772189125</v>
      </c>
      <c r="I23" s="645">
        <v>1147</v>
      </c>
      <c r="J23" s="645">
        <f t="shared" si="5"/>
        <v>5705.0942259973081</v>
      </c>
      <c r="K23" s="560">
        <v>6360</v>
      </c>
      <c r="L23" s="658"/>
      <c r="M23" s="431" t="s">
        <v>393</v>
      </c>
      <c r="N23" s="660"/>
      <c r="O23" s="660"/>
      <c r="P23" s="673">
        <v>574</v>
      </c>
      <c r="Q23" s="673">
        <v>11048</v>
      </c>
      <c r="R23" s="8">
        <f t="shared" si="6"/>
        <v>6341552</v>
      </c>
      <c r="S23" s="431"/>
      <c r="T23" s="660"/>
      <c r="U23" s="660"/>
      <c r="V23" s="673"/>
      <c r="W23" s="673"/>
      <c r="X23" s="8">
        <f t="shared" si="7"/>
        <v>0</v>
      </c>
    </row>
    <row r="24" spans="1:24" ht="18" customHeight="1">
      <c r="A24" s="735">
        <f t="shared" ref="A24:A35" si="9">IF(B24&lt;&gt;"",A23+1,"")</f>
        <v>14</v>
      </c>
      <c r="B24" s="284" t="s">
        <v>544</v>
      </c>
      <c r="C24" s="25">
        <f t="shared" si="4"/>
        <v>16334168</v>
      </c>
      <c r="D24" s="645">
        <f t="shared" si="8"/>
        <v>0</v>
      </c>
      <c r="E24" s="645">
        <f t="shared" si="8"/>
        <v>407798.71427494159</v>
      </c>
      <c r="F24" s="645">
        <f t="shared" si="8"/>
        <v>151884.52039816004</v>
      </c>
      <c r="G24" s="341"/>
      <c r="H24" s="25">
        <f t="shared" si="2"/>
        <v>16893851.234673101</v>
      </c>
      <c r="I24" s="248">
        <v>3175</v>
      </c>
      <c r="J24" s="645">
        <f t="shared" si="5"/>
        <v>5320.8980266686931</v>
      </c>
      <c r="K24" s="560">
        <v>7110</v>
      </c>
      <c r="L24" s="658"/>
      <c r="M24" s="431" t="s">
        <v>422</v>
      </c>
      <c r="N24" s="660"/>
      <c r="O24" s="660"/>
      <c r="P24" s="673">
        <v>1588</v>
      </c>
      <c r="Q24" s="673">
        <v>10286</v>
      </c>
      <c r="R24" s="8">
        <f t="shared" si="6"/>
        <v>16334168</v>
      </c>
      <c r="S24" s="431"/>
      <c r="T24" s="660"/>
      <c r="U24" s="660"/>
      <c r="V24" s="673"/>
      <c r="W24" s="673"/>
      <c r="X24" s="8">
        <f t="shared" si="7"/>
        <v>0</v>
      </c>
    </row>
    <row r="25" spans="1:24" ht="18" customHeight="1">
      <c r="A25" s="735">
        <f t="shared" si="9"/>
        <v>15</v>
      </c>
      <c r="B25" s="284" t="s">
        <v>557</v>
      </c>
      <c r="C25" s="25">
        <f t="shared" si="4"/>
        <v>6097000</v>
      </c>
      <c r="D25" s="645">
        <f t="shared" si="8"/>
        <v>0</v>
      </c>
      <c r="E25" s="645">
        <f t="shared" si="8"/>
        <v>128440.53992911546</v>
      </c>
      <c r="F25" s="645">
        <f t="shared" si="8"/>
        <v>47837.644219892922</v>
      </c>
      <c r="G25" s="341"/>
      <c r="H25" s="25">
        <f t="shared" si="2"/>
        <v>6273278.1841490082</v>
      </c>
      <c r="I25" s="645">
        <v>1000</v>
      </c>
      <c r="J25" s="645">
        <f t="shared" si="5"/>
        <v>6273.2781841490087</v>
      </c>
      <c r="K25" s="560">
        <v>7880</v>
      </c>
      <c r="L25" s="658"/>
      <c r="M25" s="431" t="s">
        <v>466</v>
      </c>
      <c r="N25" s="660"/>
      <c r="O25" s="660"/>
      <c r="P25" s="673">
        <v>500</v>
      </c>
      <c r="Q25" s="673">
        <v>12194</v>
      </c>
      <c r="R25" s="8">
        <f t="shared" si="6"/>
        <v>6097000</v>
      </c>
      <c r="S25" s="431"/>
      <c r="T25" s="660"/>
      <c r="U25" s="660"/>
      <c r="V25" s="673"/>
      <c r="W25" s="673"/>
      <c r="X25" s="8">
        <f t="shared" si="7"/>
        <v>0</v>
      </c>
    </row>
    <row r="26" spans="1:24" ht="18" customHeight="1">
      <c r="A26" s="735">
        <f t="shared" si="9"/>
        <v>16</v>
      </c>
      <c r="B26" s="284" t="s">
        <v>555</v>
      </c>
      <c r="C26" s="25">
        <f t="shared" si="4"/>
        <v>12319000</v>
      </c>
      <c r="D26" s="645">
        <f t="shared" si="8"/>
        <v>0</v>
      </c>
      <c r="E26" s="645">
        <f t="shared" si="8"/>
        <v>128440.53992911546</v>
      </c>
      <c r="F26" s="645">
        <f t="shared" si="8"/>
        <v>47837.644219892922</v>
      </c>
      <c r="G26" s="341"/>
      <c r="H26" s="25">
        <f t="shared" si="2"/>
        <v>12495278.184149008</v>
      </c>
      <c r="I26" s="248">
        <v>1000</v>
      </c>
      <c r="J26" s="645">
        <f t="shared" si="5"/>
        <v>12495.278184149009</v>
      </c>
      <c r="K26" s="560">
        <v>15500</v>
      </c>
      <c r="L26" s="658"/>
      <c r="M26" s="431" t="s">
        <v>415</v>
      </c>
      <c r="N26" s="660"/>
      <c r="O26" s="660"/>
      <c r="P26" s="673">
        <v>1000</v>
      </c>
      <c r="Q26" s="673">
        <v>12319</v>
      </c>
      <c r="R26" s="8">
        <f t="shared" si="6"/>
        <v>12319000</v>
      </c>
      <c r="S26" s="431"/>
      <c r="T26" s="660"/>
      <c r="U26" s="660"/>
      <c r="V26" s="673"/>
      <c r="W26" s="673"/>
      <c r="X26" s="8">
        <f t="shared" si="7"/>
        <v>0</v>
      </c>
    </row>
    <row r="27" spans="1:24" ht="18" customHeight="1">
      <c r="A27" s="735">
        <f t="shared" si="9"/>
        <v>17</v>
      </c>
      <c r="B27" s="284" t="s">
        <v>575</v>
      </c>
      <c r="C27" s="25">
        <f t="shared" si="4"/>
        <v>5615372</v>
      </c>
      <c r="D27" s="645">
        <f t="shared" si="8"/>
        <v>0</v>
      </c>
      <c r="E27" s="645">
        <f t="shared" si="8"/>
        <v>128440.53992911546</v>
      </c>
      <c r="F27" s="645">
        <f t="shared" si="8"/>
        <v>47837.644219892922</v>
      </c>
      <c r="G27" s="341"/>
      <c r="H27" s="25">
        <f t="shared" si="2"/>
        <v>5791650.1841490082</v>
      </c>
      <c r="I27" s="645">
        <v>1000</v>
      </c>
      <c r="J27" s="645">
        <f t="shared" si="5"/>
        <v>5791.6501841490081</v>
      </c>
      <c r="K27" s="560">
        <v>7425</v>
      </c>
      <c r="L27" s="658"/>
      <c r="M27" s="431" t="s">
        <v>455</v>
      </c>
      <c r="N27" s="660"/>
      <c r="O27" s="660"/>
      <c r="P27" s="673">
        <v>502</v>
      </c>
      <c r="Q27" s="673">
        <v>11186</v>
      </c>
      <c r="R27" s="8">
        <f t="shared" si="6"/>
        <v>5615372</v>
      </c>
      <c r="S27" s="431"/>
      <c r="T27" s="660"/>
      <c r="U27" s="660"/>
      <c r="V27" s="673"/>
      <c r="W27" s="673"/>
      <c r="X27" s="8">
        <f t="shared" si="7"/>
        <v>0</v>
      </c>
    </row>
    <row r="28" spans="1:24" ht="18" customHeight="1">
      <c r="A28" s="735">
        <f t="shared" si="9"/>
        <v>18</v>
      </c>
      <c r="B28" s="284" t="s">
        <v>572</v>
      </c>
      <c r="C28" s="25">
        <f t="shared" si="4"/>
        <v>1534500</v>
      </c>
      <c r="D28" s="645">
        <f t="shared" si="8"/>
        <v>0</v>
      </c>
      <c r="E28" s="645">
        <f t="shared" si="8"/>
        <v>38532.161978734635</v>
      </c>
      <c r="F28" s="645">
        <f t="shared" si="8"/>
        <v>14351.293265967877</v>
      </c>
      <c r="G28" s="341"/>
      <c r="H28" s="25">
        <f t="shared" si="2"/>
        <v>1587383.4552447025</v>
      </c>
      <c r="I28" s="248">
        <v>300</v>
      </c>
      <c r="J28" s="645">
        <f t="shared" si="5"/>
        <v>5291.2781841490087</v>
      </c>
      <c r="K28" s="560">
        <v>6340</v>
      </c>
      <c r="L28" s="658"/>
      <c r="M28" s="431" t="s">
        <v>454</v>
      </c>
      <c r="N28" s="660"/>
      <c r="O28" s="660"/>
      <c r="P28" s="673">
        <v>150</v>
      </c>
      <c r="Q28" s="673">
        <v>10230</v>
      </c>
      <c r="R28" s="8">
        <f t="shared" si="6"/>
        <v>1534500</v>
      </c>
      <c r="S28" s="431"/>
      <c r="T28" s="660"/>
      <c r="U28" s="660"/>
      <c r="V28" s="673"/>
      <c r="W28" s="673"/>
      <c r="X28" s="8">
        <f t="shared" si="7"/>
        <v>0</v>
      </c>
    </row>
    <row r="29" spans="1:24" ht="18" customHeight="1">
      <c r="A29" s="735">
        <f t="shared" si="9"/>
        <v>19</v>
      </c>
      <c r="B29" s="284" t="s">
        <v>559</v>
      </c>
      <c r="C29" s="25">
        <f t="shared" si="4"/>
        <v>2352900</v>
      </c>
      <c r="D29" s="645">
        <f t="shared" si="8"/>
        <v>0</v>
      </c>
      <c r="E29" s="645">
        <f t="shared" si="8"/>
        <v>70642.296961013504</v>
      </c>
      <c r="F29" s="645">
        <f t="shared" si="8"/>
        <v>26310.704320941106</v>
      </c>
      <c r="G29" s="341"/>
      <c r="H29" s="25">
        <f t="shared" si="2"/>
        <v>2449853.0012819548</v>
      </c>
      <c r="I29" s="645">
        <v>550</v>
      </c>
      <c r="J29" s="645">
        <f t="shared" si="5"/>
        <v>4454.2781841490087</v>
      </c>
      <c r="K29" s="560">
        <v>6125</v>
      </c>
      <c r="L29" s="658"/>
      <c r="M29" s="431" t="s">
        <v>429</v>
      </c>
      <c r="N29" s="660"/>
      <c r="O29" s="660"/>
      <c r="P29" s="673">
        <f>I29/2</f>
        <v>275</v>
      </c>
      <c r="Q29" s="673">
        <v>8556</v>
      </c>
      <c r="R29" s="8">
        <f t="shared" si="6"/>
        <v>2352900</v>
      </c>
      <c r="S29" s="431"/>
      <c r="T29" s="660"/>
      <c r="U29" s="660"/>
      <c r="V29" s="673"/>
      <c r="W29" s="673"/>
      <c r="X29" s="8">
        <f t="shared" si="7"/>
        <v>0</v>
      </c>
    </row>
    <row r="30" spans="1:24" ht="18" customHeight="1">
      <c r="A30" s="735">
        <f t="shared" si="9"/>
        <v>20</v>
      </c>
      <c r="B30" s="284" t="s">
        <v>534</v>
      </c>
      <c r="C30" s="25">
        <f t="shared" si="4"/>
        <v>9625500</v>
      </c>
      <c r="D30" s="645">
        <f t="shared" si="8"/>
        <v>0</v>
      </c>
      <c r="E30" s="645">
        <f t="shared" si="8"/>
        <v>288991.21484050981</v>
      </c>
      <c r="F30" s="645">
        <f t="shared" si="8"/>
        <v>107634.69949475907</v>
      </c>
      <c r="G30" s="341"/>
      <c r="H30" s="25">
        <f t="shared" si="2"/>
        <v>10022125.914335268</v>
      </c>
      <c r="I30" s="248">
        <v>2250</v>
      </c>
      <c r="J30" s="645">
        <f t="shared" si="5"/>
        <v>4454.2781841490078</v>
      </c>
      <c r="K30" s="560">
        <v>6770.666666666667</v>
      </c>
      <c r="L30" s="658"/>
      <c r="M30" s="431" t="s">
        <v>429</v>
      </c>
      <c r="N30" s="660"/>
      <c r="O30" s="660"/>
      <c r="P30" s="673">
        <f t="shared" ref="P30:P31" si="10">I30/2</f>
        <v>1125</v>
      </c>
      <c r="Q30" s="673">
        <v>8556</v>
      </c>
      <c r="R30" s="8">
        <f t="shared" si="6"/>
        <v>9625500</v>
      </c>
      <c r="S30" s="431"/>
      <c r="T30" s="660"/>
      <c r="U30" s="660"/>
      <c r="V30" s="673"/>
      <c r="W30" s="673"/>
      <c r="X30" s="8">
        <f t="shared" si="7"/>
        <v>0</v>
      </c>
    </row>
    <row r="31" spans="1:24" ht="18" customHeight="1">
      <c r="A31" s="735">
        <f t="shared" si="9"/>
        <v>21</v>
      </c>
      <c r="B31" s="284" t="s">
        <v>574</v>
      </c>
      <c r="C31" s="25">
        <f t="shared" si="4"/>
        <v>2139000</v>
      </c>
      <c r="D31" s="645">
        <f t="shared" si="8"/>
        <v>0</v>
      </c>
      <c r="E31" s="645">
        <f t="shared" si="8"/>
        <v>64220.26996455773</v>
      </c>
      <c r="F31" s="645">
        <f t="shared" si="8"/>
        <v>23918.822109946461</v>
      </c>
      <c r="G31" s="341"/>
      <c r="H31" s="25">
        <f t="shared" si="2"/>
        <v>2227139.0920745041</v>
      </c>
      <c r="I31" s="645">
        <v>500</v>
      </c>
      <c r="J31" s="645">
        <f t="shared" si="5"/>
        <v>4454.2781841490087</v>
      </c>
      <c r="K31" s="560">
        <v>7420</v>
      </c>
      <c r="L31" s="658"/>
      <c r="M31" s="431" t="s">
        <v>429</v>
      </c>
      <c r="N31" s="660"/>
      <c r="O31" s="660"/>
      <c r="P31" s="673">
        <f t="shared" si="10"/>
        <v>250</v>
      </c>
      <c r="Q31" s="673">
        <v>8556</v>
      </c>
      <c r="R31" s="8">
        <f t="shared" si="6"/>
        <v>2139000</v>
      </c>
      <c r="S31" s="431"/>
      <c r="T31" s="660"/>
      <c r="U31" s="660"/>
      <c r="V31" s="673"/>
      <c r="W31" s="673"/>
      <c r="X31" s="8">
        <f t="shared" si="7"/>
        <v>0</v>
      </c>
    </row>
    <row r="32" spans="1:24" ht="18" customHeight="1">
      <c r="A32" s="735">
        <f t="shared" si="9"/>
        <v>22</v>
      </c>
      <c r="B32" s="284" t="s">
        <v>550</v>
      </c>
      <c r="C32" s="25">
        <f t="shared" si="4"/>
        <v>11622000</v>
      </c>
      <c r="D32" s="645">
        <f t="shared" si="8"/>
        <v>0</v>
      </c>
      <c r="E32" s="645">
        <f t="shared" si="8"/>
        <v>256881.07985823092</v>
      </c>
      <c r="F32" s="645">
        <f t="shared" si="8"/>
        <v>95675.288439785843</v>
      </c>
      <c r="G32" s="341"/>
      <c r="H32" s="25">
        <f t="shared" si="2"/>
        <v>11974556.368298016</v>
      </c>
      <c r="I32" s="248">
        <v>2000</v>
      </c>
      <c r="J32" s="645">
        <f t="shared" si="5"/>
        <v>5987.2781841490087</v>
      </c>
      <c r="K32" s="560">
        <v>7660</v>
      </c>
      <c r="L32" s="658"/>
      <c r="M32" s="431" t="s">
        <v>396</v>
      </c>
      <c r="N32" s="660"/>
      <c r="O32" s="660"/>
      <c r="P32" s="673">
        <v>1000</v>
      </c>
      <c r="Q32" s="673">
        <v>11622</v>
      </c>
      <c r="R32" s="8">
        <f t="shared" si="6"/>
        <v>11622000</v>
      </c>
      <c r="S32" s="431"/>
      <c r="T32" s="660"/>
      <c r="U32" s="660"/>
      <c r="V32" s="673"/>
      <c r="W32" s="673"/>
      <c r="X32" s="8">
        <f t="shared" si="7"/>
        <v>0</v>
      </c>
    </row>
    <row r="33" spans="1:26" ht="18" customHeight="1">
      <c r="A33" s="735">
        <f t="shared" si="9"/>
        <v>23</v>
      </c>
      <c r="B33" s="284" t="s">
        <v>573</v>
      </c>
      <c r="C33" s="25">
        <f t="shared" si="4"/>
        <v>1845550</v>
      </c>
      <c r="D33" s="645">
        <f t="shared" si="8"/>
        <v>0</v>
      </c>
      <c r="E33" s="645">
        <f t="shared" si="8"/>
        <v>44954.188975190409</v>
      </c>
      <c r="F33" s="645">
        <f t="shared" si="8"/>
        <v>16743.175476962522</v>
      </c>
      <c r="G33" s="341"/>
      <c r="H33" s="25">
        <f t="shared" si="2"/>
        <v>1907247.364452153</v>
      </c>
      <c r="I33" s="645">
        <v>350</v>
      </c>
      <c r="J33" s="645">
        <f t="shared" si="5"/>
        <v>5449.2781841490087</v>
      </c>
      <c r="K33" s="560">
        <v>6600</v>
      </c>
      <c r="L33" s="658"/>
      <c r="M33" s="431" t="s">
        <v>449</v>
      </c>
      <c r="N33" s="660"/>
      <c r="O33" s="660"/>
      <c r="P33" s="673">
        <v>175</v>
      </c>
      <c r="Q33" s="673">
        <v>10546</v>
      </c>
      <c r="R33" s="8">
        <f t="shared" si="6"/>
        <v>1845550</v>
      </c>
      <c r="S33" s="431"/>
      <c r="T33" s="660"/>
      <c r="U33" s="660"/>
      <c r="V33" s="673"/>
      <c r="W33" s="673"/>
      <c r="X33" s="8">
        <f t="shared" si="7"/>
        <v>0</v>
      </c>
    </row>
    <row r="34" spans="1:26" ht="18" customHeight="1">
      <c r="A34" s="735">
        <f t="shared" si="9"/>
        <v>24</v>
      </c>
      <c r="B34" s="284" t="s">
        <v>583</v>
      </c>
      <c r="C34" s="25">
        <f t="shared" si="4"/>
        <v>4968600</v>
      </c>
      <c r="D34" s="645">
        <f t="shared" si="8"/>
        <v>0</v>
      </c>
      <c r="E34" s="645">
        <f t="shared" si="8"/>
        <v>33394.540381570019</v>
      </c>
      <c r="F34" s="645">
        <f t="shared" si="8"/>
        <v>12437.787497172159</v>
      </c>
      <c r="G34" s="341"/>
      <c r="H34" s="25">
        <f t="shared" si="2"/>
        <v>5014432.3278787425</v>
      </c>
      <c r="I34" s="248">
        <v>260</v>
      </c>
      <c r="J34" s="645">
        <f t="shared" si="5"/>
        <v>19286.27818414901</v>
      </c>
      <c r="K34" s="560">
        <v>26201</v>
      </c>
      <c r="L34" s="658"/>
      <c r="M34" s="431" t="s">
        <v>452</v>
      </c>
      <c r="N34" s="660"/>
      <c r="O34" s="660"/>
      <c r="P34" s="673">
        <v>260</v>
      </c>
      <c r="Q34" s="673">
        <v>19110</v>
      </c>
      <c r="R34" s="8">
        <f t="shared" si="6"/>
        <v>4968600</v>
      </c>
      <c r="S34" s="431"/>
      <c r="T34" s="660"/>
      <c r="U34" s="660"/>
      <c r="V34" s="673"/>
      <c r="W34" s="673"/>
      <c r="X34" s="8">
        <f t="shared" si="7"/>
        <v>0</v>
      </c>
    </row>
    <row r="35" spans="1:26" ht="18" customHeight="1">
      <c r="A35" s="735">
        <f t="shared" si="9"/>
        <v>25</v>
      </c>
      <c r="B35" s="284" t="s">
        <v>562</v>
      </c>
      <c r="C35" s="25">
        <f t="shared" si="4"/>
        <v>5143000</v>
      </c>
      <c r="D35" s="645">
        <f t="shared" si="8"/>
        <v>0</v>
      </c>
      <c r="E35" s="645">
        <f t="shared" si="8"/>
        <v>64220.26996455773</v>
      </c>
      <c r="F35" s="645">
        <f t="shared" si="8"/>
        <v>23918.822109946461</v>
      </c>
      <c r="G35" s="341"/>
      <c r="H35" s="25">
        <f t="shared" si="2"/>
        <v>5231139.0920745041</v>
      </c>
      <c r="I35" s="645">
        <v>500</v>
      </c>
      <c r="J35" s="645">
        <f t="shared" si="5"/>
        <v>10462.278184149009</v>
      </c>
      <c r="K35" s="560">
        <v>11450</v>
      </c>
      <c r="L35" s="658"/>
      <c r="M35" s="431" t="s">
        <v>395</v>
      </c>
      <c r="N35" s="660"/>
      <c r="O35" s="660"/>
      <c r="P35" s="673">
        <v>500</v>
      </c>
      <c r="Q35" s="673">
        <v>10286</v>
      </c>
      <c r="R35" s="8">
        <f t="shared" si="6"/>
        <v>5143000</v>
      </c>
      <c r="S35" s="431"/>
      <c r="T35" s="660"/>
      <c r="U35" s="660"/>
      <c r="V35" s="673"/>
      <c r="W35" s="673"/>
      <c r="X35" s="8">
        <f t="shared" si="7"/>
        <v>0</v>
      </c>
    </row>
    <row r="36" spans="1:26" s="663" customFormat="1" ht="18" customHeight="1">
      <c r="A36" s="735"/>
      <c r="B36" s="284"/>
      <c r="C36" s="25"/>
      <c r="D36" s="645"/>
      <c r="E36" s="645"/>
      <c r="F36" s="645"/>
      <c r="G36" s="341"/>
      <c r="H36" s="25"/>
      <c r="I36" s="248"/>
      <c r="J36" s="645"/>
      <c r="K36" s="560"/>
      <c r="L36" s="560"/>
      <c r="M36" s="661"/>
      <c r="N36" s="660"/>
      <c r="O36" s="662"/>
      <c r="P36" s="684"/>
      <c r="Q36" s="674"/>
      <c r="R36" s="674"/>
      <c r="S36" s="661"/>
      <c r="T36" s="660"/>
      <c r="U36" s="736"/>
      <c r="V36" s="674"/>
      <c r="W36" s="674"/>
      <c r="X36" s="8"/>
    </row>
    <row r="37" spans="1:26" s="642" customFormat="1" ht="18" customHeight="1">
      <c r="A37" s="646"/>
      <c r="B37" s="647" t="s">
        <v>236</v>
      </c>
      <c r="C37" s="471">
        <f>SUM(C7:C36)</f>
        <v>183888906</v>
      </c>
      <c r="D37" s="471"/>
      <c r="E37" s="471">
        <v>6813000</v>
      </c>
      <c r="F37" s="471">
        <v>2537500</v>
      </c>
      <c r="G37" s="432">
        <f>ROUND(SUM(G7:G36),0)</f>
        <v>0</v>
      </c>
      <c r="H37" s="471">
        <f>ROUND(SUM(H7:H36),0)</f>
        <v>193239408</v>
      </c>
      <c r="I37" s="471">
        <f>ROUND(SUM(I7:I36),0)</f>
        <v>53044</v>
      </c>
      <c r="J37" s="471"/>
      <c r="K37" s="654"/>
      <c r="L37" s="654"/>
      <c r="M37" s="664"/>
      <c r="N37" s="665"/>
      <c r="O37" s="666"/>
      <c r="P37" s="685"/>
      <c r="Q37" s="44"/>
      <c r="R37" s="44">
        <f>SUM(R7:R36)</f>
        <v>183888906</v>
      </c>
      <c r="S37" s="664"/>
      <c r="T37" s="665"/>
      <c r="U37" s="665"/>
      <c r="V37" s="670"/>
      <c r="W37" s="27"/>
      <c r="X37" s="44">
        <f>SUM(X7:X36)</f>
        <v>0</v>
      </c>
    </row>
    <row r="38" spans="1:26" s="642" customFormat="1">
      <c r="A38" s="648"/>
      <c r="B38" s="649"/>
      <c r="C38" s="643"/>
      <c r="D38" s="643"/>
      <c r="E38" s="643"/>
      <c r="F38" s="643"/>
      <c r="G38" s="433"/>
      <c r="H38" s="643"/>
      <c r="I38" s="643"/>
      <c r="J38" s="643"/>
      <c r="K38" s="654"/>
      <c r="L38" s="654"/>
      <c r="M38" s="434"/>
      <c r="N38" s="667"/>
      <c r="O38" s="668"/>
      <c r="P38" s="686"/>
      <c r="Q38" s="657"/>
      <c r="R38" s="669"/>
      <c r="S38" s="434"/>
      <c r="T38" s="667"/>
      <c r="U38" s="667"/>
      <c r="V38" s="657"/>
      <c r="W38" s="657"/>
      <c r="X38" s="641"/>
    </row>
    <row r="39" spans="1:26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</sheetData>
  <sortState ref="A359:AB597">
    <sortCondition ref="T359:T597"/>
  </sortState>
  <dataValidations count="1">
    <dataValidation type="list" allowBlank="1" showInputMessage="1" showErrorMessage="1" sqref="M6 S6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488" customWidth="1"/>
    <col min="2" max="2" width="15.7109375" style="488" customWidth="1"/>
    <col min="3" max="3" width="16.85546875" style="488" customWidth="1"/>
    <col min="4" max="9" width="15.28515625" style="488" customWidth="1"/>
    <col min="10" max="10" width="10.140625" style="488" customWidth="1"/>
    <col min="11" max="11" width="5.85546875" style="488" customWidth="1"/>
    <col min="12" max="16384" width="10.28515625" style="488"/>
  </cols>
  <sheetData>
    <row r="1" spans="1:11" s="435" customFormat="1" ht="19.5" customHeight="1">
      <c r="A1" s="475" t="str">
        <f>TH!A1</f>
        <v>Đơn vị: CÔNG TY TNHH MỘT THÀNH VIÊN KHỞI NGUYÊN AN</v>
      </c>
      <c r="B1" s="475"/>
      <c r="D1" s="436"/>
      <c r="E1" s="436"/>
      <c r="F1" s="436"/>
      <c r="G1" s="894" t="s">
        <v>237</v>
      </c>
      <c r="H1" s="894"/>
      <c r="I1" s="894"/>
      <c r="J1" s="437"/>
      <c r="K1" s="438"/>
    </row>
    <row r="2" spans="1:11" s="435" customFormat="1" ht="19.5" customHeight="1">
      <c r="A2" s="523" t="str">
        <f>TH!A2</f>
        <v>Địa chỉ: Thửa đất số 144, tờ bản đồ số 12TĐH.1, tổ 1, khu phố Đông Tác, Phường Tân Đông Hiệp, Thị Xã Dĩ An, Tỉnh Bình Dương, Việt Nam</v>
      </c>
      <c r="B2" s="475"/>
      <c r="D2" s="439"/>
      <c r="E2" s="439"/>
      <c r="F2" s="439"/>
      <c r="G2" s="895" t="str">
        <f ca="1">IF(YEAR(TK!$B$14)&gt;=2015,"(Ban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895"/>
      <c r="I2" s="895"/>
      <c r="J2" s="437"/>
      <c r="K2" s="417">
        <v>1</v>
      </c>
    </row>
    <row r="3" spans="1:11" s="435" customFormat="1" ht="15">
      <c r="A3" s="476"/>
      <c r="B3" s="477"/>
      <c r="C3" s="439"/>
      <c r="D3" s="439"/>
      <c r="E3" s="439"/>
      <c r="F3" s="439"/>
      <c r="G3" s="895"/>
      <c r="H3" s="895"/>
      <c r="I3" s="895"/>
      <c r="J3" s="437"/>
    </row>
    <row r="4" spans="1:11" s="479" customFormat="1" ht="17.25" customHeight="1">
      <c r="A4" s="896" t="s">
        <v>238</v>
      </c>
      <c r="B4" s="896"/>
      <c r="C4" s="896"/>
      <c r="D4" s="896"/>
      <c r="E4" s="896"/>
      <c r="F4" s="896"/>
      <c r="G4" s="896"/>
      <c r="H4" s="896"/>
      <c r="I4" s="896"/>
      <c r="J4" s="478"/>
    </row>
    <row r="5" spans="1:11" s="480" customFormat="1" ht="17.25" customHeight="1">
      <c r="B5" s="481"/>
      <c r="C5" s="482" t="s">
        <v>273</v>
      </c>
      <c r="D5" s="481" t="str">
        <f>IF($K$2&lt;10,"0"&amp;$K$2&amp;"  năm 2011",$K$2&amp;"  năm 2011")</f>
        <v>01  năm 2011</v>
      </c>
      <c r="E5" s="481"/>
      <c r="F5" s="481"/>
      <c r="G5" s="481"/>
      <c r="H5" s="481"/>
      <c r="I5" s="481"/>
      <c r="J5" s="481"/>
    </row>
    <row r="6" spans="1:11" s="480" customFormat="1" ht="17.25" customHeight="1">
      <c r="B6" s="483"/>
      <c r="C6" s="897" t="s">
        <v>239</v>
      </c>
      <c r="D6" s="897"/>
      <c r="E6" s="898"/>
      <c r="F6" s="898"/>
      <c r="G6" s="898"/>
      <c r="H6" s="595"/>
      <c r="I6" s="483"/>
      <c r="J6" s="481"/>
    </row>
    <row r="7" spans="1:11" s="485" customFormat="1" ht="9.75" customHeight="1">
      <c r="A7" s="484"/>
      <c r="B7" s="484"/>
      <c r="C7" s="484"/>
      <c r="D7" s="484"/>
      <c r="E7" s="484"/>
      <c r="F7" s="484"/>
      <c r="G7" s="484"/>
      <c r="H7" s="484"/>
      <c r="I7" s="484"/>
      <c r="J7" s="483"/>
    </row>
    <row r="8" spans="1:11" s="441" customFormat="1" ht="17.25" customHeight="1">
      <c r="A8" s="899" t="s">
        <v>240</v>
      </c>
      <c r="B8" s="900" t="s">
        <v>241</v>
      </c>
      <c r="C8" s="900" t="s">
        <v>242</v>
      </c>
      <c r="D8" s="900"/>
      <c r="E8" s="900"/>
      <c r="F8" s="900"/>
      <c r="G8" s="900"/>
      <c r="H8" s="900"/>
      <c r="I8" s="900"/>
      <c r="J8" s="440"/>
    </row>
    <row r="9" spans="1:11" s="444" customFormat="1" ht="35.25" customHeight="1">
      <c r="A9" s="899"/>
      <c r="B9" s="900"/>
      <c r="C9" s="442" t="s">
        <v>300</v>
      </c>
      <c r="D9" s="442" t="s">
        <v>243</v>
      </c>
      <c r="E9" s="442" t="s">
        <v>301</v>
      </c>
      <c r="F9" s="442" t="s">
        <v>302</v>
      </c>
      <c r="G9" s="442" t="s">
        <v>244</v>
      </c>
      <c r="H9" s="442" t="s">
        <v>245</v>
      </c>
      <c r="I9" s="442" t="s">
        <v>303</v>
      </c>
      <c r="J9" s="443"/>
    </row>
    <row r="10" spans="1:11" s="447" customFormat="1" ht="15">
      <c r="A10" s="445" t="s">
        <v>2</v>
      </c>
      <c r="B10" s="446">
        <v>1</v>
      </c>
      <c r="C10" s="446">
        <v>2</v>
      </c>
      <c r="D10" s="446">
        <v>3</v>
      </c>
      <c r="E10" s="446">
        <v>4</v>
      </c>
      <c r="F10" s="446">
        <v>5</v>
      </c>
      <c r="G10" s="446">
        <v>6</v>
      </c>
      <c r="H10" s="446">
        <v>7</v>
      </c>
      <c r="I10" s="446">
        <v>8</v>
      </c>
      <c r="J10" s="437"/>
    </row>
    <row r="11" spans="1:11" s="480" customFormat="1" ht="24.75" customHeight="1">
      <c r="A11" s="486" t="s">
        <v>246</v>
      </c>
      <c r="B11" s="487">
        <f>ROUND(SUM(C11:I11),0)</f>
        <v>0</v>
      </c>
      <c r="C11" s="487">
        <v>0</v>
      </c>
      <c r="D11" s="487">
        <v>0</v>
      </c>
      <c r="E11" s="487">
        <v>0</v>
      </c>
      <c r="F11" s="487">
        <v>0</v>
      </c>
      <c r="G11" s="487">
        <v>0</v>
      </c>
      <c r="H11" s="487">
        <v>0</v>
      </c>
      <c r="I11" s="487">
        <v>0</v>
      </c>
      <c r="J11" s="481"/>
    </row>
    <row r="12" spans="1:11" s="480" customFormat="1" ht="24.75" customHeight="1">
      <c r="A12" s="486" t="s">
        <v>247</v>
      </c>
      <c r="B12" s="487">
        <f ca="1">ROUND(SUM(C12:I12),0)</f>
        <v>0</v>
      </c>
      <c r="C12" s="487">
        <f ca="1">IF(ISNA(VLOOKUP($E6,INDIRECT("DSSP"&amp;$K$2),5,0)),0,VLOOKUP($E6,INDIRECT("DSSP"&amp;$K$2),5,0))</f>
        <v>0</v>
      </c>
      <c r="D12" s="487">
        <f ca="1">IF(ISNA(VLOOKUP($E6,INDIRECT("DSSP"&amp;$K$2),6,0)),0,VLOOKUP($E6,INDIRECT("DSSP"&amp;$K$2),6,0))</f>
        <v>0</v>
      </c>
      <c r="E12" s="487">
        <f ca="1">IF(ISNA(VLOOKUP($E6,INDIRECT("DSSP"&amp;$K$2),7,0)),0,VLOOKUP($E6,INDIRECT("DSSP"&amp;$K$2),7,0))</f>
        <v>0</v>
      </c>
      <c r="F12" s="487">
        <f ca="1">IF(ISNA(VLOOKUP($E6,INDIRECT("DSSP"&amp;$K$2),8,0)),0,VLOOKUP($E6,INDIRECT("DSSP"&amp;$K$2),8,0))</f>
        <v>0</v>
      </c>
      <c r="G12" s="487">
        <f ca="1">IF(ISNA(VLOOKUP($E6,INDIRECT("DSSP"&amp;$K$2),9,0)),0,VLOOKUP($E6,INDIRECT("DSSP"&amp;$K$2),9,0))</f>
        <v>0</v>
      </c>
      <c r="H12" s="487">
        <f ca="1">IF(ISNA(VLOOKUP($E6,INDIRECT("DSSP"&amp;$K$2),10,0)),0,VLOOKUP($E6,INDIRECT("DSSP"&amp;$K$2),10,0))</f>
        <v>0</v>
      </c>
      <c r="I12" s="487">
        <f ca="1">IF(ISNA(VLOOKUP($E6,INDIRECT("DSSP"&amp;$K$2),11,0)),0,VLOOKUP($E6,INDIRECT("DSSP"&amp;$K$2),11,0))</f>
        <v>0</v>
      </c>
      <c r="J12" s="481"/>
    </row>
    <row r="13" spans="1:11" s="480" customFormat="1" ht="24.75" customHeight="1">
      <c r="A13" s="486" t="s">
        <v>248</v>
      </c>
      <c r="B13" s="487">
        <f ca="1">ROUND(IF(ISNA(VLOOKUP($E6,INDIRECT("DSSP"&amp;$K$2),13,0)),0,VLOOKUP($E6,INDIRECT("DSSP"&amp;$K$2),13,0)),0)</f>
        <v>0</v>
      </c>
      <c r="C13" s="487">
        <f t="shared" ref="C13:I13" ca="1" si="0">C12</f>
        <v>0</v>
      </c>
      <c r="D13" s="487">
        <f t="shared" ca="1" si="0"/>
        <v>0</v>
      </c>
      <c r="E13" s="487">
        <f t="shared" ca="1" si="0"/>
        <v>0</v>
      </c>
      <c r="F13" s="487"/>
      <c r="G13" s="487">
        <f t="shared" ca="1" si="0"/>
        <v>0</v>
      </c>
      <c r="H13" s="487"/>
      <c r="I13" s="487">
        <f t="shared" ca="1" si="0"/>
        <v>0</v>
      </c>
      <c r="J13" s="481"/>
    </row>
    <row r="14" spans="1:11" s="480" customFormat="1" ht="24.75" customHeight="1">
      <c r="A14" s="486" t="s">
        <v>249</v>
      </c>
      <c r="B14" s="487">
        <f ca="1">B12-B13</f>
        <v>0</v>
      </c>
      <c r="C14" s="487">
        <f t="shared" ref="C14:I14" ca="1" si="1">C12-C13</f>
        <v>0</v>
      </c>
      <c r="D14" s="487">
        <f t="shared" ca="1" si="1"/>
        <v>0</v>
      </c>
      <c r="E14" s="487">
        <f t="shared" ca="1" si="1"/>
        <v>0</v>
      </c>
      <c r="F14" s="487"/>
      <c r="G14" s="487">
        <f t="shared" ca="1" si="1"/>
        <v>0</v>
      </c>
      <c r="H14" s="487"/>
      <c r="I14" s="487">
        <f t="shared" ca="1" si="1"/>
        <v>0</v>
      </c>
      <c r="J14" s="481"/>
    </row>
    <row r="15" spans="1:11" s="480" customFormat="1" ht="15">
      <c r="B15" s="481"/>
      <c r="C15" s="481"/>
      <c r="D15" s="481"/>
      <c r="E15" s="481"/>
      <c r="F15" s="481"/>
      <c r="G15" s="481"/>
      <c r="H15" s="481"/>
      <c r="I15" s="481"/>
      <c r="J15" s="481"/>
    </row>
    <row r="16" spans="1:11" s="480" customFormat="1" ht="15">
      <c r="B16" s="481"/>
      <c r="C16" s="481"/>
      <c r="D16" s="481"/>
      <c r="E16" s="893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893"/>
      <c r="G16" s="893"/>
      <c r="H16" s="893"/>
      <c r="I16" s="893"/>
      <c r="J16" s="481"/>
    </row>
    <row r="17" spans="2:10" s="480" customFormat="1" ht="15">
      <c r="B17" s="447" t="s">
        <v>250</v>
      </c>
      <c r="C17" s="481"/>
      <c r="D17" s="481"/>
      <c r="E17" s="893" t="s">
        <v>12</v>
      </c>
      <c r="F17" s="893"/>
      <c r="G17" s="893"/>
      <c r="H17" s="893"/>
      <c r="I17" s="893"/>
      <c r="J17" s="481"/>
    </row>
    <row r="19" spans="2:10" ht="15">
      <c r="E19" s="489"/>
      <c r="F19" s="489"/>
    </row>
    <row r="26" spans="2:10">
      <c r="B26" s="474" t="s">
        <v>151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3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O13" sqref="O13"/>
    </sheetView>
  </sheetViews>
  <sheetFormatPr defaultRowHeight="15"/>
  <cols>
    <col min="1" max="1" width="10.28515625" style="597" customWidth="1"/>
    <col min="2" max="2" width="8.85546875" style="597" customWidth="1"/>
    <col min="3" max="3" width="10.5703125" style="597" customWidth="1"/>
    <col min="4" max="4" width="43.42578125" style="597" customWidth="1"/>
    <col min="5" max="5" width="7.140625" style="597" customWidth="1"/>
    <col min="6" max="6" width="14.140625" style="597" customWidth="1"/>
    <col min="7" max="7" width="14.85546875" style="597" customWidth="1"/>
    <col min="8" max="9" width="12" style="597" customWidth="1"/>
    <col min="10" max="10" width="12.85546875" style="597" customWidth="1"/>
    <col min="11" max="12" width="13.5703125" style="597" customWidth="1"/>
    <col min="13" max="13" width="12.7109375" style="597" customWidth="1"/>
    <col min="14" max="14" width="6.28515625" style="597" customWidth="1"/>
    <col min="15" max="15" width="8.42578125" style="597" customWidth="1"/>
    <col min="16" max="16384" width="9.140625" style="597"/>
  </cols>
  <sheetData>
    <row r="2" spans="1:16">
      <c r="A2" s="596" t="str">
        <f>'IN-NX'!A2</f>
        <v>Đơn vị: CÔNG TY TNHH MỘT THÀNH VIÊN KHỞI NGUYÊN AN</v>
      </c>
      <c r="F2" s="598"/>
      <c r="G2" s="598"/>
      <c r="H2" s="598"/>
      <c r="I2" s="598"/>
      <c r="J2" s="905" t="s">
        <v>305</v>
      </c>
      <c r="K2" s="905"/>
      <c r="L2" s="905"/>
      <c r="M2" s="905"/>
    </row>
    <row r="3" spans="1:16" ht="15" customHeight="1">
      <c r="A3" s="626" t="str">
        <f>'IN-NX'!A3</f>
        <v>Địa chỉ: Thửa đất số 144, tờ bản đồ số 12TĐH.1, tổ 1, khu phố Đông Tác, Phường Tân Đông Hiệp, Thị Xã Dĩ An, Tỉnh Bình Dương, Việt Nam</v>
      </c>
      <c r="J3" s="908" t="str">
        <f ca="1">IF(YEAR($A$16)&gt;=2015,"(Ban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908"/>
      <c r="L3" s="908"/>
      <c r="M3" s="908"/>
    </row>
    <row r="4" spans="1:16">
      <c r="J4" s="908"/>
      <c r="K4" s="908"/>
      <c r="L4" s="908"/>
      <c r="M4" s="908"/>
    </row>
    <row r="5" spans="1:16" ht="19.5" customHeight="1">
      <c r="A5" s="906" t="s">
        <v>306</v>
      </c>
      <c r="B5" s="906"/>
      <c r="C5" s="906"/>
      <c r="D5" s="906"/>
      <c r="E5" s="906"/>
      <c r="F5" s="906"/>
      <c r="G5" s="906"/>
      <c r="H5" s="906"/>
      <c r="I5" s="906"/>
      <c r="J5" s="906"/>
      <c r="K5" s="906"/>
      <c r="L5" s="906"/>
      <c r="M5" s="906"/>
      <c r="N5" s="599" t="s">
        <v>160</v>
      </c>
      <c r="O5" s="532">
        <f>IF(O13="Quý I",1,IF(O13="Quý II",4,IF(O13="Quý III",7,IF(O13="Quý IV",10,""))))</f>
        <v>7</v>
      </c>
      <c r="P5" s="532">
        <f>IF(O13="Quý I",3,IF(O13="Quý II",6,IF(O13="Quý III",9,IF(O13="Quý IV",12,""))))</f>
        <v>9</v>
      </c>
    </row>
    <row r="6" spans="1:16">
      <c r="A6" s="907" t="s">
        <v>307</v>
      </c>
      <c r="B6" s="907"/>
      <c r="C6" s="907"/>
      <c r="D6" s="907"/>
      <c r="E6" s="907"/>
      <c r="F6" s="907"/>
      <c r="G6" s="907"/>
      <c r="H6" s="907"/>
      <c r="I6" s="907"/>
      <c r="J6" s="907"/>
      <c r="K6" s="907"/>
      <c r="L6" s="907"/>
      <c r="M6" s="907"/>
      <c r="N6" s="624"/>
    </row>
    <row r="7" spans="1:16">
      <c r="B7" s="600"/>
      <c r="C7" s="600"/>
      <c r="D7" s="600"/>
      <c r="E7" s="601" t="s">
        <v>308</v>
      </c>
      <c r="G7" s="600"/>
      <c r="H7" s="600"/>
      <c r="I7" s="600"/>
      <c r="J7" s="600"/>
      <c r="K7" s="600"/>
      <c r="L7" s="600"/>
      <c r="M7" s="600"/>
    </row>
    <row r="8" spans="1:16">
      <c r="B8" s="600"/>
      <c r="C8" s="600"/>
      <c r="D8" s="600"/>
      <c r="E8" s="601" t="s">
        <v>309</v>
      </c>
      <c r="G8" s="600"/>
      <c r="H8" s="600"/>
      <c r="I8" s="600"/>
      <c r="J8" s="600"/>
      <c r="K8" s="600"/>
      <c r="L8" s="600"/>
      <c r="M8" s="600"/>
    </row>
    <row r="9" spans="1:16">
      <c r="B9" s="602"/>
      <c r="C9" s="602"/>
      <c r="D9" s="602"/>
      <c r="E9" s="601" t="s">
        <v>310</v>
      </c>
      <c r="G9" s="602"/>
      <c r="H9" s="602"/>
      <c r="I9" s="602"/>
      <c r="J9" s="602"/>
      <c r="K9" s="602"/>
      <c r="L9" s="602"/>
      <c r="M9" s="602"/>
    </row>
    <row r="10" spans="1:16">
      <c r="C10" s="904"/>
      <c r="D10" s="904"/>
      <c r="E10" s="904"/>
      <c r="F10" s="904"/>
      <c r="G10" s="904"/>
      <c r="H10" s="904"/>
      <c r="I10" s="904"/>
      <c r="J10" s="904"/>
      <c r="K10" s="904"/>
      <c r="L10" s="904"/>
      <c r="M10" s="904"/>
    </row>
    <row r="11" spans="1:16" ht="15.75" customHeight="1">
      <c r="A11" s="901" t="s">
        <v>20</v>
      </c>
      <c r="B11" s="902" t="s">
        <v>1</v>
      </c>
      <c r="C11" s="902"/>
      <c r="D11" s="901" t="s">
        <v>0</v>
      </c>
      <c r="E11" s="901" t="s">
        <v>204</v>
      </c>
      <c r="F11" s="902" t="s">
        <v>311</v>
      </c>
      <c r="G11" s="902"/>
      <c r="H11" s="902"/>
      <c r="I11" s="902"/>
      <c r="J11" s="902"/>
      <c r="K11" s="902"/>
      <c r="L11" s="902"/>
      <c r="M11" s="902"/>
    </row>
    <row r="12" spans="1:16" ht="15.75" customHeight="1" thickBot="1">
      <c r="A12" s="901"/>
      <c r="B12" s="903" t="s">
        <v>15</v>
      </c>
      <c r="C12" s="903" t="s">
        <v>32</v>
      </c>
      <c r="D12" s="901"/>
      <c r="E12" s="901"/>
      <c r="F12" s="903" t="s">
        <v>312</v>
      </c>
      <c r="G12" s="903" t="s">
        <v>313</v>
      </c>
      <c r="H12" s="903"/>
      <c r="I12" s="903"/>
      <c r="J12" s="903"/>
      <c r="K12" s="903"/>
      <c r="L12" s="903"/>
      <c r="M12" s="903"/>
    </row>
    <row r="13" spans="1:16" ht="31.5" customHeight="1" thickBot="1">
      <c r="A13" s="901"/>
      <c r="B13" s="903"/>
      <c r="C13" s="903"/>
      <c r="D13" s="901"/>
      <c r="E13" s="901"/>
      <c r="F13" s="903"/>
      <c r="G13" s="603" t="s">
        <v>300</v>
      </c>
      <c r="H13" s="603" t="s">
        <v>301</v>
      </c>
      <c r="I13" s="603" t="s">
        <v>302</v>
      </c>
      <c r="J13" s="603" t="s">
        <v>314</v>
      </c>
      <c r="K13" s="603" t="s">
        <v>315</v>
      </c>
      <c r="L13" s="603" t="s">
        <v>298</v>
      </c>
      <c r="M13" s="603" t="s">
        <v>316</v>
      </c>
      <c r="O13" s="625" t="s">
        <v>335</v>
      </c>
    </row>
    <row r="14" spans="1:16">
      <c r="A14" s="604" t="s">
        <v>2</v>
      </c>
      <c r="B14" s="604" t="s">
        <v>3</v>
      </c>
      <c r="C14" s="604" t="s">
        <v>4</v>
      </c>
      <c r="D14" s="604" t="s">
        <v>5</v>
      </c>
      <c r="E14" s="604" t="s">
        <v>6</v>
      </c>
      <c r="F14" s="604">
        <v>1</v>
      </c>
      <c r="G14" s="604">
        <v>2</v>
      </c>
      <c r="H14" s="604">
        <v>3</v>
      </c>
      <c r="I14" s="604"/>
      <c r="J14" s="604">
        <v>4</v>
      </c>
      <c r="K14" s="604">
        <v>5</v>
      </c>
      <c r="L14" s="604"/>
      <c r="M14" s="604">
        <v>6</v>
      </c>
    </row>
    <row r="15" spans="1:16" ht="22.5" customHeight="1">
      <c r="A15" s="605"/>
      <c r="B15" s="605"/>
      <c r="C15" s="605"/>
      <c r="D15" s="606" t="s">
        <v>7</v>
      </c>
      <c r="E15" s="605"/>
      <c r="F15" s="607"/>
      <c r="G15" s="607"/>
      <c r="H15" s="607"/>
      <c r="I15" s="607"/>
      <c r="J15" s="607"/>
      <c r="K15" s="607"/>
      <c r="L15" s="607"/>
      <c r="M15" s="607"/>
    </row>
    <row r="16" spans="1:16" ht="22.5" customHeight="1">
      <c r="A16" s="608">
        <f ca="1">IF(ROWS($1:1)&gt;COUNT(Dong9),"",OFFSET(TH!C$1,SMALL(Dong9,ROWS($1:1)),))</f>
        <v>41136</v>
      </c>
      <c r="B16" s="608" t="str">
        <f ca="1">IF(ROWS($1:1)&gt;COUNT(Dong9),"",OFFSET(TH!D$1,SMALL(Dong9,ROWS($1:1)),))</f>
        <v>C02</v>
      </c>
      <c r="C16" s="608">
        <f ca="1">IF(ROWS($1:1)&gt;COUNT(Dong9),"",OFFSET(TH!E$1,SMALL(Dong9,ROWS($1:1)),))</f>
        <v>41136</v>
      </c>
      <c r="D16" s="609" t="str">
        <f ca="1">IF(ROWS($1:1)&gt;COUNT(Dong9),"",OFFSET(TH!F$1,SMALL(Dong9,ROWS($1:1)),))</f>
        <v>Dây mạ kẽm</v>
      </c>
      <c r="E16" s="608" t="str">
        <f ca="1">IF(ROWS($1:1)&gt;COUNT(Dong9),"",OFFSET(TH!M$1,SMALL(Dong9,ROWS($1:1)),))</f>
        <v>1111</v>
      </c>
      <c r="F16" s="610">
        <f ca="1">IF(ROWS($1:1)&gt;COUNT(Dong9),"",OFFSET(TH!K$1,SMALL(Dong9,ROWS($1:1)),))</f>
        <v>2580000</v>
      </c>
      <c r="G16" s="610">
        <f ca="1">IF($E16="1521",$F16,0)</f>
        <v>0</v>
      </c>
      <c r="H16" s="610">
        <f ca="1">IF($E16="1522",$F16,0)</f>
        <v>0</v>
      </c>
      <c r="I16" s="610">
        <f ca="1">IF(LEFT(D16,6)="Mực in",F16,0)</f>
        <v>0</v>
      </c>
      <c r="J16" s="610">
        <f ca="1">IF(OR(LEFT($E16,3)="334",LEFT($E16,3)="338"),$F16,0)</f>
        <v>0</v>
      </c>
      <c r="K16" s="610">
        <f ca="1">IF(OR(LEFT($E16,3)="331",AND(LEFT($E16,3)="111",$D16="Tiền điện")),$F16,0)</f>
        <v>0</v>
      </c>
      <c r="L16" s="610">
        <f ca="1">IF($E16="142",$F16,0)</f>
        <v>0</v>
      </c>
      <c r="M16" s="610">
        <f ca="1">IF(OR(LEFT($E16,3)="214",LEFT($E16,3)="242",AND(LEFT($E16,3)="111",$D16&lt;&gt;"Tiền điện",LEFT($D16,6)&lt;&gt;"Mực in")),$F16,0)</f>
        <v>2580000</v>
      </c>
    </row>
    <row r="17" spans="1:13" ht="22.5" customHeight="1">
      <c r="A17" s="608" t="str">
        <f ca="1">IF(ROWS($1:2)&gt;COUNT(Dong9),"",OFFSET(TH!C$1,SMALL(Dong9,ROWS($1:2)),))</f>
        <v/>
      </c>
      <c r="B17" s="608" t="str">
        <f ca="1">IF(ROWS($1:2)&gt;COUNT(Dong9),"",OFFSET(TH!D$1,SMALL(Dong9,ROWS($1:2)),))</f>
        <v/>
      </c>
      <c r="C17" s="608" t="str">
        <f ca="1">IF(ROWS($1:2)&gt;COUNT(Dong9),"",OFFSET(TH!E$1,SMALL(Dong9,ROWS($1:2)),))</f>
        <v/>
      </c>
      <c r="D17" s="609" t="str">
        <f ca="1">IF(ROWS($1:2)&gt;COUNT(Dong9),"",OFFSET(TH!F$1,SMALL(Dong9,ROWS($1:2)),))</f>
        <v/>
      </c>
      <c r="E17" s="608" t="str">
        <f ca="1">IF(ROWS($1:2)&gt;COUNT(Dong9),"",OFFSET(TH!M$1,SMALL(Dong9,ROWS($1:2)),))</f>
        <v/>
      </c>
      <c r="F17" s="610" t="str">
        <f ca="1">IF(ROWS($1:2)&gt;COUNT(Dong9),"",OFFSET(TH!K$1,SMALL(Dong9,ROWS($1:2)),))</f>
        <v/>
      </c>
      <c r="G17" s="610">
        <f t="shared" ref="G17:G33" ca="1" si="0">IF($E17="1521",$F17,0)</f>
        <v>0</v>
      </c>
      <c r="H17" s="610">
        <f t="shared" ref="H17:H33" ca="1" si="1">IF($E17="1522",$F17,0)</f>
        <v>0</v>
      </c>
      <c r="I17" s="610">
        <f t="shared" ref="I17:I33" ca="1" si="2">IF(LEFT(D17,6)="Mực in",F17,0)</f>
        <v>0</v>
      </c>
      <c r="J17" s="610">
        <f t="shared" ref="J17:J33" ca="1" si="3">IF(OR(LEFT($E17,3)="334",LEFT($E17,3)="338"),$F17,0)</f>
        <v>0</v>
      </c>
      <c r="K17" s="610">
        <f t="shared" ref="K17:K33" ca="1" si="4">IF(OR(LEFT($E17,3)="331",AND(LEFT($E17,3)="111",$D17="Tiền điện")),$F17,0)</f>
        <v>0</v>
      </c>
      <c r="L17" s="610">
        <f t="shared" ref="L17:L33" ca="1" si="5">IF($E17="142",$F17,0)</f>
        <v>0</v>
      </c>
      <c r="M17" s="610">
        <f t="shared" ref="M17:M33" ca="1" si="6">IF(OR(LEFT($E17,3)="214",LEFT($E17,3)="242",AND(LEFT($E17,3)="111",$D17&lt;&gt;"Tiền điện",LEFT($D17,6)&lt;&gt;"Mực in")),$F17,0)</f>
        <v>0</v>
      </c>
    </row>
    <row r="18" spans="1:13" ht="22.5" customHeight="1">
      <c r="A18" s="608" t="str">
        <f ca="1">IF(ROWS($1:3)&gt;COUNT(Dong9),"",OFFSET(TH!C$1,SMALL(Dong9,ROWS($1:3)),))</f>
        <v/>
      </c>
      <c r="B18" s="608" t="str">
        <f ca="1">IF(ROWS($1:3)&gt;COUNT(Dong9),"",OFFSET(TH!D$1,SMALL(Dong9,ROWS($1:3)),))</f>
        <v/>
      </c>
      <c r="C18" s="608" t="str">
        <f ca="1">IF(ROWS($1:3)&gt;COUNT(Dong9),"",OFFSET(TH!E$1,SMALL(Dong9,ROWS($1:3)),))</f>
        <v/>
      </c>
      <c r="D18" s="609" t="str">
        <f ca="1">IF(ROWS($1:3)&gt;COUNT(Dong9),"",OFFSET(TH!F$1,SMALL(Dong9,ROWS($1:3)),))</f>
        <v/>
      </c>
      <c r="E18" s="608" t="str">
        <f ca="1">IF(ROWS($1:3)&gt;COUNT(Dong9),"",OFFSET(TH!M$1,SMALL(Dong9,ROWS($1:3)),))</f>
        <v/>
      </c>
      <c r="F18" s="610" t="str">
        <f ca="1">IF(ROWS($1:3)&gt;COUNT(Dong9),"",OFFSET(TH!K$1,SMALL(Dong9,ROWS($1:3)),))</f>
        <v/>
      </c>
      <c r="G18" s="610">
        <f t="shared" ca="1" si="0"/>
        <v>0</v>
      </c>
      <c r="H18" s="610">
        <f t="shared" ca="1" si="1"/>
        <v>0</v>
      </c>
      <c r="I18" s="610">
        <f t="shared" ca="1" si="2"/>
        <v>0</v>
      </c>
      <c r="J18" s="610">
        <f t="shared" ca="1" si="3"/>
        <v>0</v>
      </c>
      <c r="K18" s="610">
        <f t="shared" ca="1" si="4"/>
        <v>0</v>
      </c>
      <c r="L18" s="610">
        <f t="shared" ca="1" si="5"/>
        <v>0</v>
      </c>
      <c r="M18" s="610">
        <f t="shared" ca="1" si="6"/>
        <v>0</v>
      </c>
    </row>
    <row r="19" spans="1:13" ht="22.5" customHeight="1">
      <c r="A19" s="608" t="str">
        <f ca="1">IF(ROWS($1:4)&gt;COUNT(Dong9),"",OFFSET(TH!C$1,SMALL(Dong9,ROWS($1:4)),))</f>
        <v/>
      </c>
      <c r="B19" s="608" t="str">
        <f ca="1">IF(ROWS($1:4)&gt;COUNT(Dong9),"",OFFSET(TH!D$1,SMALL(Dong9,ROWS($1:4)),))</f>
        <v/>
      </c>
      <c r="C19" s="608" t="str">
        <f ca="1">IF(ROWS($1:4)&gt;COUNT(Dong9),"",OFFSET(TH!E$1,SMALL(Dong9,ROWS($1:4)),))</f>
        <v/>
      </c>
      <c r="D19" s="609" t="str">
        <f ca="1">IF(ROWS($1:4)&gt;COUNT(Dong9),"",OFFSET(TH!F$1,SMALL(Dong9,ROWS($1:4)),))</f>
        <v/>
      </c>
      <c r="E19" s="608" t="str">
        <f ca="1">IF(ROWS($1:4)&gt;COUNT(Dong9),"",OFFSET(TH!M$1,SMALL(Dong9,ROWS($1:4)),))</f>
        <v/>
      </c>
      <c r="F19" s="610" t="str">
        <f ca="1">IF(ROWS($1:4)&gt;COUNT(Dong9),"",OFFSET(TH!K$1,SMALL(Dong9,ROWS($1:4)),))</f>
        <v/>
      </c>
      <c r="G19" s="610">
        <f t="shared" ca="1" si="0"/>
        <v>0</v>
      </c>
      <c r="H19" s="610">
        <f t="shared" ca="1" si="1"/>
        <v>0</v>
      </c>
      <c r="I19" s="610">
        <f t="shared" ca="1" si="2"/>
        <v>0</v>
      </c>
      <c r="J19" s="610">
        <f t="shared" ca="1" si="3"/>
        <v>0</v>
      </c>
      <c r="K19" s="610">
        <f t="shared" ca="1" si="4"/>
        <v>0</v>
      </c>
      <c r="L19" s="610">
        <f t="shared" ca="1" si="5"/>
        <v>0</v>
      </c>
      <c r="M19" s="610">
        <f t="shared" ca="1" si="6"/>
        <v>0</v>
      </c>
    </row>
    <row r="20" spans="1:13" ht="22.5" customHeight="1">
      <c r="A20" s="608" t="str">
        <f ca="1">IF(ROWS($1:5)&gt;COUNT(Dong9),"",OFFSET(TH!C$1,SMALL(Dong9,ROWS($1:5)),))</f>
        <v/>
      </c>
      <c r="B20" s="608" t="str">
        <f ca="1">IF(ROWS($1:5)&gt;COUNT(Dong9),"",OFFSET(TH!D$1,SMALL(Dong9,ROWS($1:5)),))</f>
        <v/>
      </c>
      <c r="C20" s="608" t="str">
        <f ca="1">IF(ROWS($1:5)&gt;COUNT(Dong9),"",OFFSET(TH!E$1,SMALL(Dong9,ROWS($1:5)),))</f>
        <v/>
      </c>
      <c r="D20" s="609" t="str">
        <f ca="1">IF(ROWS($1:5)&gt;COUNT(Dong9),"",OFFSET(TH!F$1,SMALL(Dong9,ROWS($1:5)),))</f>
        <v/>
      </c>
      <c r="E20" s="608" t="str">
        <f ca="1">IF(ROWS($1:5)&gt;COUNT(Dong9),"",OFFSET(TH!M$1,SMALL(Dong9,ROWS($1:5)),))</f>
        <v/>
      </c>
      <c r="F20" s="610" t="str">
        <f ca="1">IF(ROWS($1:5)&gt;COUNT(Dong9),"",OFFSET(TH!K$1,SMALL(Dong9,ROWS($1:5)),))</f>
        <v/>
      </c>
      <c r="G20" s="610">
        <f t="shared" ca="1" si="0"/>
        <v>0</v>
      </c>
      <c r="H20" s="610">
        <f t="shared" ca="1" si="1"/>
        <v>0</v>
      </c>
      <c r="I20" s="610">
        <f t="shared" ca="1" si="2"/>
        <v>0</v>
      </c>
      <c r="J20" s="610">
        <f t="shared" ca="1" si="3"/>
        <v>0</v>
      </c>
      <c r="K20" s="610">
        <f t="shared" ca="1" si="4"/>
        <v>0</v>
      </c>
      <c r="L20" s="610">
        <f t="shared" ca="1" si="5"/>
        <v>0</v>
      </c>
      <c r="M20" s="610">
        <f t="shared" ca="1" si="6"/>
        <v>0</v>
      </c>
    </row>
    <row r="21" spans="1:13" ht="22.5" customHeight="1">
      <c r="A21" s="608" t="str">
        <f ca="1">IF(ROWS($1:6)&gt;COUNT(Dong9),"",OFFSET(TH!C$1,SMALL(Dong9,ROWS($1:6)),))</f>
        <v/>
      </c>
      <c r="B21" s="608" t="str">
        <f ca="1">IF(ROWS($1:6)&gt;COUNT(Dong9),"",OFFSET(TH!D$1,SMALL(Dong9,ROWS($1:6)),))</f>
        <v/>
      </c>
      <c r="C21" s="608" t="str">
        <f ca="1">IF(ROWS($1:6)&gt;COUNT(Dong9),"",OFFSET(TH!E$1,SMALL(Dong9,ROWS($1:6)),))</f>
        <v/>
      </c>
      <c r="D21" s="609" t="str">
        <f ca="1">IF(ROWS($1:6)&gt;COUNT(Dong9),"",OFFSET(TH!F$1,SMALL(Dong9,ROWS($1:6)),))</f>
        <v/>
      </c>
      <c r="E21" s="608" t="str">
        <f ca="1">IF(ROWS($1:6)&gt;COUNT(Dong9),"",OFFSET(TH!M$1,SMALL(Dong9,ROWS($1:6)),))</f>
        <v/>
      </c>
      <c r="F21" s="610" t="str">
        <f ca="1">IF(ROWS($1:6)&gt;COUNT(Dong9),"",OFFSET(TH!K$1,SMALL(Dong9,ROWS($1:6)),))</f>
        <v/>
      </c>
      <c r="G21" s="610">
        <f t="shared" ca="1" si="0"/>
        <v>0</v>
      </c>
      <c r="H21" s="610">
        <f t="shared" ca="1" si="1"/>
        <v>0</v>
      </c>
      <c r="I21" s="610">
        <f t="shared" ca="1" si="2"/>
        <v>0</v>
      </c>
      <c r="J21" s="610">
        <f t="shared" ca="1" si="3"/>
        <v>0</v>
      </c>
      <c r="K21" s="610">
        <f t="shared" ca="1" si="4"/>
        <v>0</v>
      </c>
      <c r="L21" s="610">
        <f t="shared" ca="1" si="5"/>
        <v>0</v>
      </c>
      <c r="M21" s="610">
        <f t="shared" ca="1" si="6"/>
        <v>0</v>
      </c>
    </row>
    <row r="22" spans="1:13" ht="22.5" customHeight="1">
      <c r="A22" s="608" t="str">
        <f ca="1">IF(ROWS($1:7)&gt;COUNT(Dong9),"",OFFSET(TH!C$1,SMALL(Dong9,ROWS($1:7)),))</f>
        <v/>
      </c>
      <c r="B22" s="608" t="str">
        <f ca="1">IF(ROWS($1:7)&gt;COUNT(Dong9),"",OFFSET(TH!D$1,SMALL(Dong9,ROWS($1:7)),))</f>
        <v/>
      </c>
      <c r="C22" s="608" t="str">
        <f ca="1">IF(ROWS($1:7)&gt;COUNT(Dong9),"",OFFSET(TH!E$1,SMALL(Dong9,ROWS($1:7)),))</f>
        <v/>
      </c>
      <c r="D22" s="609" t="str">
        <f ca="1">IF(ROWS($1:7)&gt;COUNT(Dong9),"",OFFSET(TH!F$1,SMALL(Dong9,ROWS($1:7)),))</f>
        <v/>
      </c>
      <c r="E22" s="608" t="str">
        <f ca="1">IF(ROWS($1:7)&gt;COUNT(Dong9),"",OFFSET(TH!M$1,SMALL(Dong9,ROWS($1:7)),))</f>
        <v/>
      </c>
      <c r="F22" s="610" t="str">
        <f ca="1">IF(ROWS($1:7)&gt;COUNT(Dong9),"",OFFSET(TH!K$1,SMALL(Dong9,ROWS($1:7)),))</f>
        <v/>
      </c>
      <c r="G22" s="610">
        <f t="shared" ca="1" si="0"/>
        <v>0</v>
      </c>
      <c r="H22" s="610">
        <f t="shared" ca="1" si="1"/>
        <v>0</v>
      </c>
      <c r="I22" s="610">
        <f t="shared" ca="1" si="2"/>
        <v>0</v>
      </c>
      <c r="J22" s="610">
        <f t="shared" ca="1" si="3"/>
        <v>0</v>
      </c>
      <c r="K22" s="610">
        <f t="shared" ca="1" si="4"/>
        <v>0</v>
      </c>
      <c r="L22" s="610">
        <f t="shared" ca="1" si="5"/>
        <v>0</v>
      </c>
      <c r="M22" s="610">
        <f t="shared" ca="1" si="6"/>
        <v>0</v>
      </c>
    </row>
    <row r="23" spans="1:13" ht="22.5" customHeight="1">
      <c r="A23" s="608" t="str">
        <f ca="1">IF(ROWS($1:8)&gt;COUNT(Dong9),"",OFFSET(TH!C$1,SMALL(Dong9,ROWS($1:8)),))</f>
        <v/>
      </c>
      <c r="B23" s="608" t="str">
        <f ca="1">IF(ROWS($1:8)&gt;COUNT(Dong9),"",OFFSET(TH!D$1,SMALL(Dong9,ROWS($1:8)),))</f>
        <v/>
      </c>
      <c r="C23" s="608" t="str">
        <f ca="1">IF(ROWS($1:8)&gt;COUNT(Dong9),"",OFFSET(TH!E$1,SMALL(Dong9,ROWS($1:8)),))</f>
        <v/>
      </c>
      <c r="D23" s="609" t="str">
        <f ca="1">IF(ROWS($1:8)&gt;COUNT(Dong9),"",OFFSET(TH!F$1,SMALL(Dong9,ROWS($1:8)),))</f>
        <v/>
      </c>
      <c r="E23" s="608" t="str">
        <f ca="1">IF(ROWS($1:8)&gt;COUNT(Dong9),"",OFFSET(TH!M$1,SMALL(Dong9,ROWS($1:8)),))</f>
        <v/>
      </c>
      <c r="F23" s="610" t="str">
        <f ca="1">IF(ROWS($1:8)&gt;COUNT(Dong9),"",OFFSET(TH!K$1,SMALL(Dong9,ROWS($1:8)),))</f>
        <v/>
      </c>
      <c r="G23" s="610">
        <f t="shared" ca="1" si="0"/>
        <v>0</v>
      </c>
      <c r="H23" s="610">
        <f t="shared" ca="1" si="1"/>
        <v>0</v>
      </c>
      <c r="I23" s="610">
        <f t="shared" ca="1" si="2"/>
        <v>0</v>
      </c>
      <c r="J23" s="610">
        <f t="shared" ca="1" si="3"/>
        <v>0</v>
      </c>
      <c r="K23" s="610">
        <f t="shared" ca="1" si="4"/>
        <v>0</v>
      </c>
      <c r="L23" s="610">
        <f t="shared" ca="1" si="5"/>
        <v>0</v>
      </c>
      <c r="M23" s="610">
        <f t="shared" ca="1" si="6"/>
        <v>0</v>
      </c>
    </row>
    <row r="24" spans="1:13" ht="22.5" customHeight="1">
      <c r="A24" s="608" t="str">
        <f ca="1">IF(ROWS($1:9)&gt;COUNT(Dong9),"",OFFSET(TH!C$1,SMALL(Dong9,ROWS($1:9)),))</f>
        <v/>
      </c>
      <c r="B24" s="608" t="str">
        <f ca="1">IF(ROWS($1:9)&gt;COUNT(Dong9),"",OFFSET(TH!D$1,SMALL(Dong9,ROWS($1:9)),))</f>
        <v/>
      </c>
      <c r="C24" s="608" t="str">
        <f ca="1">IF(ROWS($1:9)&gt;COUNT(Dong9),"",OFFSET(TH!E$1,SMALL(Dong9,ROWS($1:9)),))</f>
        <v/>
      </c>
      <c r="D24" s="609" t="str">
        <f ca="1">IF(ROWS($1:9)&gt;COUNT(Dong9),"",OFFSET(TH!F$1,SMALL(Dong9,ROWS($1:9)),))</f>
        <v/>
      </c>
      <c r="E24" s="608" t="str">
        <f ca="1">IF(ROWS($1:9)&gt;COUNT(Dong9),"",OFFSET(TH!M$1,SMALL(Dong9,ROWS($1:9)),))</f>
        <v/>
      </c>
      <c r="F24" s="610" t="str">
        <f ca="1">IF(ROWS($1:9)&gt;COUNT(Dong9),"",OFFSET(TH!K$1,SMALL(Dong9,ROWS($1:9)),))</f>
        <v/>
      </c>
      <c r="G24" s="610">
        <f t="shared" ca="1" si="0"/>
        <v>0</v>
      </c>
      <c r="H24" s="610">
        <f t="shared" ca="1" si="1"/>
        <v>0</v>
      </c>
      <c r="I24" s="610">
        <f t="shared" ca="1" si="2"/>
        <v>0</v>
      </c>
      <c r="J24" s="610">
        <f t="shared" ca="1" si="3"/>
        <v>0</v>
      </c>
      <c r="K24" s="610">
        <f t="shared" ca="1" si="4"/>
        <v>0</v>
      </c>
      <c r="L24" s="610">
        <f t="shared" ca="1" si="5"/>
        <v>0</v>
      </c>
      <c r="M24" s="610">
        <f t="shared" ca="1" si="6"/>
        <v>0</v>
      </c>
    </row>
    <row r="25" spans="1:13" ht="22.5" customHeight="1">
      <c r="A25" s="608" t="str">
        <f ca="1">IF(ROWS($1:10)&gt;COUNT(Dong9),"",OFFSET(TH!C$1,SMALL(Dong9,ROWS($1:10)),))</f>
        <v/>
      </c>
      <c r="B25" s="608" t="str">
        <f ca="1">IF(ROWS($1:10)&gt;COUNT(Dong9),"",OFFSET(TH!D$1,SMALL(Dong9,ROWS($1:10)),))</f>
        <v/>
      </c>
      <c r="C25" s="608" t="str">
        <f ca="1">IF(ROWS($1:10)&gt;COUNT(Dong9),"",OFFSET(TH!E$1,SMALL(Dong9,ROWS($1:10)),))</f>
        <v/>
      </c>
      <c r="D25" s="609" t="str">
        <f ca="1">IF(ROWS($1:10)&gt;COUNT(Dong9),"",OFFSET(TH!F$1,SMALL(Dong9,ROWS($1:10)),))</f>
        <v/>
      </c>
      <c r="E25" s="608" t="str">
        <f ca="1">IF(ROWS($1:10)&gt;COUNT(Dong9),"",OFFSET(TH!M$1,SMALL(Dong9,ROWS($1:10)),))</f>
        <v/>
      </c>
      <c r="F25" s="610" t="str">
        <f ca="1">IF(ROWS($1:10)&gt;COUNT(Dong9),"",OFFSET(TH!K$1,SMALL(Dong9,ROWS($1:10)),))</f>
        <v/>
      </c>
      <c r="G25" s="610">
        <f t="shared" ca="1" si="0"/>
        <v>0</v>
      </c>
      <c r="H25" s="610">
        <f t="shared" ca="1" si="1"/>
        <v>0</v>
      </c>
      <c r="I25" s="610">
        <f t="shared" ca="1" si="2"/>
        <v>0</v>
      </c>
      <c r="J25" s="610">
        <f t="shared" ca="1" si="3"/>
        <v>0</v>
      </c>
      <c r="K25" s="610">
        <f t="shared" ca="1" si="4"/>
        <v>0</v>
      </c>
      <c r="L25" s="610">
        <f t="shared" ca="1" si="5"/>
        <v>0</v>
      </c>
      <c r="M25" s="610">
        <f t="shared" ca="1" si="6"/>
        <v>0</v>
      </c>
    </row>
    <row r="26" spans="1:13" ht="22.5" customHeight="1">
      <c r="A26" s="608" t="str">
        <f ca="1">IF(ROWS($1:11)&gt;COUNT(Dong9),"",OFFSET(TH!C$1,SMALL(Dong9,ROWS($1:11)),))</f>
        <v/>
      </c>
      <c r="B26" s="608" t="str">
        <f ca="1">IF(ROWS($1:11)&gt;COUNT(Dong9),"",OFFSET(TH!D$1,SMALL(Dong9,ROWS($1:11)),))</f>
        <v/>
      </c>
      <c r="C26" s="608" t="str">
        <f ca="1">IF(ROWS($1:11)&gt;COUNT(Dong9),"",OFFSET(TH!E$1,SMALL(Dong9,ROWS($1:11)),))</f>
        <v/>
      </c>
      <c r="D26" s="609" t="str">
        <f ca="1">IF(ROWS($1:11)&gt;COUNT(Dong9),"",OFFSET(TH!F$1,SMALL(Dong9,ROWS($1:11)),))</f>
        <v/>
      </c>
      <c r="E26" s="608" t="str">
        <f ca="1">IF(ROWS($1:11)&gt;COUNT(Dong9),"",OFFSET(TH!M$1,SMALL(Dong9,ROWS($1:11)),))</f>
        <v/>
      </c>
      <c r="F26" s="610" t="str">
        <f ca="1">IF(ROWS($1:11)&gt;COUNT(Dong9),"",OFFSET(TH!K$1,SMALL(Dong9,ROWS($1:11)),))</f>
        <v/>
      </c>
      <c r="G26" s="610">
        <f t="shared" ca="1" si="0"/>
        <v>0</v>
      </c>
      <c r="H26" s="610">
        <f t="shared" ca="1" si="1"/>
        <v>0</v>
      </c>
      <c r="I26" s="610">
        <f t="shared" ca="1" si="2"/>
        <v>0</v>
      </c>
      <c r="J26" s="610">
        <f t="shared" ca="1" si="3"/>
        <v>0</v>
      </c>
      <c r="K26" s="610">
        <f t="shared" ca="1" si="4"/>
        <v>0</v>
      </c>
      <c r="L26" s="610">
        <f t="shared" ca="1" si="5"/>
        <v>0</v>
      </c>
      <c r="M26" s="610">
        <f t="shared" ca="1" si="6"/>
        <v>0</v>
      </c>
    </row>
    <row r="27" spans="1:13" ht="22.5" customHeight="1">
      <c r="A27" s="608" t="str">
        <f ca="1">IF(ROWS($1:12)&gt;COUNT(Dong9),"",OFFSET(TH!C$1,SMALL(Dong9,ROWS($1:12)),))</f>
        <v/>
      </c>
      <c r="B27" s="608" t="str">
        <f ca="1">IF(ROWS($1:12)&gt;COUNT(Dong9),"",OFFSET(TH!D$1,SMALL(Dong9,ROWS($1:12)),))</f>
        <v/>
      </c>
      <c r="C27" s="608" t="str">
        <f ca="1">IF(ROWS($1:12)&gt;COUNT(Dong9),"",OFFSET(TH!E$1,SMALL(Dong9,ROWS($1:12)),))</f>
        <v/>
      </c>
      <c r="D27" s="609" t="str">
        <f ca="1">IF(ROWS($1:12)&gt;COUNT(Dong9),"",OFFSET(TH!F$1,SMALL(Dong9,ROWS($1:12)),))</f>
        <v/>
      </c>
      <c r="E27" s="608" t="str">
        <f ca="1">IF(ROWS($1:12)&gt;COUNT(Dong9),"",OFFSET(TH!M$1,SMALL(Dong9,ROWS($1:12)),))</f>
        <v/>
      </c>
      <c r="F27" s="610" t="str">
        <f ca="1">IF(ROWS($1:12)&gt;COUNT(Dong9),"",OFFSET(TH!K$1,SMALL(Dong9,ROWS($1:12)),))</f>
        <v/>
      </c>
      <c r="G27" s="610">
        <f t="shared" ca="1" si="0"/>
        <v>0</v>
      </c>
      <c r="H27" s="610">
        <f t="shared" ca="1" si="1"/>
        <v>0</v>
      </c>
      <c r="I27" s="610">
        <f t="shared" ca="1" si="2"/>
        <v>0</v>
      </c>
      <c r="J27" s="610">
        <f t="shared" ca="1" si="3"/>
        <v>0</v>
      </c>
      <c r="K27" s="610">
        <f t="shared" ca="1" si="4"/>
        <v>0</v>
      </c>
      <c r="L27" s="610">
        <f t="shared" ca="1" si="5"/>
        <v>0</v>
      </c>
      <c r="M27" s="610">
        <f t="shared" ca="1" si="6"/>
        <v>0</v>
      </c>
    </row>
    <row r="28" spans="1:13" ht="22.5" customHeight="1">
      <c r="A28" s="608" t="str">
        <f ca="1">IF(ROWS($1:13)&gt;COUNT(Dong9),"",OFFSET(TH!C$1,SMALL(Dong9,ROWS($1:13)),))</f>
        <v/>
      </c>
      <c r="B28" s="608" t="str">
        <f ca="1">IF(ROWS($1:13)&gt;COUNT(Dong9),"",OFFSET(TH!D$1,SMALL(Dong9,ROWS($1:13)),))</f>
        <v/>
      </c>
      <c r="C28" s="608" t="str">
        <f ca="1">IF(ROWS($1:13)&gt;COUNT(Dong9),"",OFFSET(TH!E$1,SMALL(Dong9,ROWS($1:13)),))</f>
        <v/>
      </c>
      <c r="D28" s="609" t="str">
        <f ca="1">IF(ROWS($1:13)&gt;COUNT(Dong9),"",OFFSET(TH!F$1,SMALL(Dong9,ROWS($1:13)),))</f>
        <v/>
      </c>
      <c r="E28" s="608" t="str">
        <f ca="1">IF(ROWS($1:13)&gt;COUNT(Dong9),"",OFFSET(TH!M$1,SMALL(Dong9,ROWS($1:13)),))</f>
        <v/>
      </c>
      <c r="F28" s="610" t="str">
        <f ca="1">IF(ROWS($1:13)&gt;COUNT(Dong9),"",OFFSET(TH!K$1,SMALL(Dong9,ROWS($1:13)),))</f>
        <v/>
      </c>
      <c r="G28" s="610">
        <f t="shared" ca="1" si="0"/>
        <v>0</v>
      </c>
      <c r="H28" s="610">
        <f t="shared" ca="1" si="1"/>
        <v>0</v>
      </c>
      <c r="I28" s="610">
        <f t="shared" ca="1" si="2"/>
        <v>0</v>
      </c>
      <c r="J28" s="610">
        <f t="shared" ca="1" si="3"/>
        <v>0</v>
      </c>
      <c r="K28" s="610">
        <f t="shared" ca="1" si="4"/>
        <v>0</v>
      </c>
      <c r="L28" s="610">
        <f t="shared" ca="1" si="5"/>
        <v>0</v>
      </c>
      <c r="M28" s="610">
        <f t="shared" ca="1" si="6"/>
        <v>0</v>
      </c>
    </row>
    <row r="29" spans="1:13" ht="22.5" customHeight="1">
      <c r="A29" s="608" t="str">
        <f ca="1">IF(ROWS($1:14)&gt;COUNT(Dong9),"",OFFSET(TH!C$1,SMALL(Dong9,ROWS($1:14)),))</f>
        <v/>
      </c>
      <c r="B29" s="608" t="str">
        <f ca="1">IF(ROWS($1:14)&gt;COUNT(Dong9),"",OFFSET(TH!D$1,SMALL(Dong9,ROWS($1:14)),))</f>
        <v/>
      </c>
      <c r="C29" s="608" t="str">
        <f ca="1">IF(ROWS($1:14)&gt;COUNT(Dong9),"",OFFSET(TH!E$1,SMALL(Dong9,ROWS($1:14)),))</f>
        <v/>
      </c>
      <c r="D29" s="609" t="str">
        <f ca="1">IF(ROWS($1:14)&gt;COUNT(Dong9),"",OFFSET(TH!F$1,SMALL(Dong9,ROWS($1:14)),))</f>
        <v/>
      </c>
      <c r="E29" s="608" t="str">
        <f ca="1">IF(ROWS($1:14)&gt;COUNT(Dong9),"",OFFSET(TH!M$1,SMALL(Dong9,ROWS($1:14)),))</f>
        <v/>
      </c>
      <c r="F29" s="610" t="str">
        <f ca="1">IF(ROWS($1:14)&gt;COUNT(Dong9),"",OFFSET(TH!K$1,SMALL(Dong9,ROWS($1:14)),))</f>
        <v/>
      </c>
      <c r="G29" s="610">
        <f t="shared" ca="1" si="0"/>
        <v>0</v>
      </c>
      <c r="H29" s="610">
        <f t="shared" ca="1" si="1"/>
        <v>0</v>
      </c>
      <c r="I29" s="610">
        <f t="shared" ca="1" si="2"/>
        <v>0</v>
      </c>
      <c r="J29" s="610">
        <f t="shared" ca="1" si="3"/>
        <v>0</v>
      </c>
      <c r="K29" s="610">
        <f t="shared" ca="1" si="4"/>
        <v>0</v>
      </c>
      <c r="L29" s="610">
        <f t="shared" ca="1" si="5"/>
        <v>0</v>
      </c>
      <c r="M29" s="610">
        <f t="shared" ca="1" si="6"/>
        <v>0</v>
      </c>
    </row>
    <row r="30" spans="1:13" ht="22.5" customHeight="1">
      <c r="A30" s="608" t="str">
        <f ca="1">IF(ROWS($1:15)&gt;COUNT(Dong9),"",OFFSET(TH!C$1,SMALL(Dong9,ROWS($1:15)),))</f>
        <v/>
      </c>
      <c r="B30" s="608" t="str">
        <f ca="1">IF(ROWS($1:15)&gt;COUNT(Dong9),"",OFFSET(TH!D$1,SMALL(Dong9,ROWS($1:15)),))</f>
        <v/>
      </c>
      <c r="C30" s="608" t="str">
        <f ca="1">IF(ROWS($1:15)&gt;COUNT(Dong9),"",OFFSET(TH!E$1,SMALL(Dong9,ROWS($1:15)),))</f>
        <v/>
      </c>
      <c r="D30" s="609" t="str">
        <f ca="1">IF(ROWS($1:15)&gt;COUNT(Dong9),"",OFFSET(TH!F$1,SMALL(Dong9,ROWS($1:15)),))</f>
        <v/>
      </c>
      <c r="E30" s="608" t="str">
        <f ca="1">IF(ROWS($1:15)&gt;COUNT(Dong9),"",OFFSET(TH!M$1,SMALL(Dong9,ROWS($1:15)),))</f>
        <v/>
      </c>
      <c r="F30" s="610" t="str">
        <f ca="1">IF(ROWS($1:15)&gt;COUNT(Dong9),"",OFFSET(TH!K$1,SMALL(Dong9,ROWS($1:15)),))</f>
        <v/>
      </c>
      <c r="G30" s="610">
        <f t="shared" ca="1" si="0"/>
        <v>0</v>
      </c>
      <c r="H30" s="610">
        <f t="shared" ca="1" si="1"/>
        <v>0</v>
      </c>
      <c r="I30" s="610">
        <f t="shared" ca="1" si="2"/>
        <v>0</v>
      </c>
      <c r="J30" s="610">
        <f t="shared" ca="1" si="3"/>
        <v>0</v>
      </c>
      <c r="K30" s="610">
        <f t="shared" ca="1" si="4"/>
        <v>0</v>
      </c>
      <c r="L30" s="610">
        <f t="shared" ca="1" si="5"/>
        <v>0</v>
      </c>
      <c r="M30" s="610">
        <f t="shared" ca="1" si="6"/>
        <v>0</v>
      </c>
    </row>
    <row r="31" spans="1:13" ht="22.5" customHeight="1">
      <c r="A31" s="608" t="str">
        <f ca="1">IF(ROWS($1:16)&gt;COUNT(Dong9),"",OFFSET(TH!C$1,SMALL(Dong9,ROWS($1:16)),))</f>
        <v/>
      </c>
      <c r="B31" s="608" t="str">
        <f ca="1">IF(ROWS($1:16)&gt;COUNT(Dong9),"",OFFSET(TH!D$1,SMALL(Dong9,ROWS($1:16)),))</f>
        <v/>
      </c>
      <c r="C31" s="608" t="str">
        <f ca="1">IF(ROWS($1:16)&gt;COUNT(Dong9),"",OFFSET(TH!E$1,SMALL(Dong9,ROWS($1:16)),))</f>
        <v/>
      </c>
      <c r="D31" s="609" t="str">
        <f ca="1">IF(ROWS($1:16)&gt;COUNT(Dong9),"",OFFSET(TH!F$1,SMALL(Dong9,ROWS($1:16)),))</f>
        <v/>
      </c>
      <c r="E31" s="608" t="str">
        <f ca="1">IF(ROWS($1:16)&gt;COUNT(Dong9),"",OFFSET(TH!M$1,SMALL(Dong9,ROWS($1:16)),))</f>
        <v/>
      </c>
      <c r="F31" s="610" t="str">
        <f ca="1">IF(ROWS($1:16)&gt;COUNT(Dong9),"",OFFSET(TH!K$1,SMALL(Dong9,ROWS($1:16)),))</f>
        <v/>
      </c>
      <c r="G31" s="610">
        <f t="shared" ca="1" si="0"/>
        <v>0</v>
      </c>
      <c r="H31" s="610">
        <f t="shared" ca="1" si="1"/>
        <v>0</v>
      </c>
      <c r="I31" s="610">
        <f t="shared" ca="1" si="2"/>
        <v>0</v>
      </c>
      <c r="J31" s="610">
        <f t="shared" ca="1" si="3"/>
        <v>0</v>
      </c>
      <c r="K31" s="610">
        <f t="shared" ca="1" si="4"/>
        <v>0</v>
      </c>
      <c r="L31" s="610">
        <f t="shared" ca="1" si="5"/>
        <v>0</v>
      </c>
      <c r="M31" s="610">
        <f t="shared" ca="1" si="6"/>
        <v>0</v>
      </c>
    </row>
    <row r="32" spans="1:13" ht="22.5" customHeight="1">
      <c r="A32" s="608" t="str">
        <f ca="1">IF(ROWS($1:17)&gt;COUNT(Dong9),"",OFFSET(TH!C$1,SMALL(Dong9,ROWS($1:17)),))</f>
        <v/>
      </c>
      <c r="B32" s="608" t="str">
        <f ca="1">IF(ROWS($1:17)&gt;COUNT(Dong9),"",OFFSET(TH!D$1,SMALL(Dong9,ROWS($1:17)),))</f>
        <v/>
      </c>
      <c r="C32" s="608" t="str">
        <f ca="1">IF(ROWS($1:17)&gt;COUNT(Dong9),"",OFFSET(TH!E$1,SMALL(Dong9,ROWS($1:17)),))</f>
        <v/>
      </c>
      <c r="D32" s="609" t="str">
        <f ca="1">IF(ROWS($1:17)&gt;COUNT(Dong9),"",OFFSET(TH!F$1,SMALL(Dong9,ROWS($1:17)),))</f>
        <v/>
      </c>
      <c r="E32" s="608" t="str">
        <f ca="1">IF(ROWS($1:17)&gt;COUNT(Dong9),"",OFFSET(TH!M$1,SMALL(Dong9,ROWS($1:17)),))</f>
        <v/>
      </c>
      <c r="F32" s="610" t="str">
        <f ca="1">IF(ROWS($1:17)&gt;COUNT(Dong9),"",OFFSET(TH!K$1,SMALL(Dong9,ROWS($1:17)),))</f>
        <v/>
      </c>
      <c r="G32" s="610">
        <f t="shared" ca="1" si="0"/>
        <v>0</v>
      </c>
      <c r="H32" s="610">
        <f t="shared" ca="1" si="1"/>
        <v>0</v>
      </c>
      <c r="I32" s="610">
        <f t="shared" ca="1" si="2"/>
        <v>0</v>
      </c>
      <c r="J32" s="610">
        <f t="shared" ca="1" si="3"/>
        <v>0</v>
      </c>
      <c r="K32" s="610">
        <f t="shared" ca="1" si="4"/>
        <v>0</v>
      </c>
      <c r="L32" s="610">
        <f t="shared" ca="1" si="5"/>
        <v>0</v>
      </c>
      <c r="M32" s="610">
        <f t="shared" ca="1" si="6"/>
        <v>0</v>
      </c>
    </row>
    <row r="33" spans="1:13" ht="22.5" customHeight="1">
      <c r="A33" s="608" t="str">
        <f ca="1">IF(ROWS($1:18)&gt;COUNT(Dong9),"",OFFSET(TH!C$1,SMALL(Dong9,ROWS($1:18)),))</f>
        <v/>
      </c>
      <c r="B33" s="608" t="str">
        <f ca="1">IF(ROWS($1:18)&gt;COUNT(Dong9),"",OFFSET(TH!D$1,SMALL(Dong9,ROWS($1:18)),))</f>
        <v/>
      </c>
      <c r="C33" s="608" t="str">
        <f ca="1">IF(ROWS($1:18)&gt;COUNT(Dong9),"",OFFSET(TH!E$1,SMALL(Dong9,ROWS($1:18)),))</f>
        <v/>
      </c>
      <c r="D33" s="609" t="str">
        <f ca="1">IF(ROWS($1:18)&gt;COUNT(Dong9),"",OFFSET(TH!F$1,SMALL(Dong9,ROWS($1:18)),))</f>
        <v/>
      </c>
      <c r="E33" s="608" t="str">
        <f ca="1">IF(ROWS($1:18)&gt;COUNT(Dong9),"",OFFSET(TH!M$1,SMALL(Dong9,ROWS($1:18)),))</f>
        <v/>
      </c>
      <c r="F33" s="610" t="str">
        <f ca="1">IF(ROWS($1:18)&gt;COUNT(Dong9),"",OFFSET(TH!K$1,SMALL(Dong9,ROWS($1:18)),))</f>
        <v/>
      </c>
      <c r="G33" s="610">
        <f t="shared" ca="1" si="0"/>
        <v>0</v>
      </c>
      <c r="H33" s="610">
        <f t="shared" ca="1" si="1"/>
        <v>0</v>
      </c>
      <c r="I33" s="610">
        <f t="shared" ca="1" si="2"/>
        <v>0</v>
      </c>
      <c r="J33" s="610">
        <f t="shared" ca="1" si="3"/>
        <v>0</v>
      </c>
      <c r="K33" s="610">
        <f t="shared" ca="1" si="4"/>
        <v>0</v>
      </c>
      <c r="L33" s="610">
        <f t="shared" ca="1" si="5"/>
        <v>0</v>
      </c>
      <c r="M33" s="610">
        <f t="shared" ca="1" si="6"/>
        <v>0</v>
      </c>
    </row>
    <row r="34" spans="1:13" ht="22.5" customHeight="1">
      <c r="A34" s="608"/>
      <c r="B34" s="611"/>
      <c r="C34" s="608"/>
      <c r="D34" s="612"/>
      <c r="E34" s="613"/>
      <c r="F34" s="614"/>
      <c r="G34" s="614"/>
      <c r="H34" s="614"/>
      <c r="I34" s="614"/>
      <c r="J34" s="614"/>
      <c r="K34" s="614"/>
      <c r="L34" s="614"/>
      <c r="M34" s="614"/>
    </row>
    <row r="35" spans="1:13" ht="22.5" customHeight="1">
      <c r="A35" s="608"/>
      <c r="B35" s="611"/>
      <c r="C35" s="608"/>
      <c r="D35" s="606" t="s">
        <v>133</v>
      </c>
      <c r="E35" s="605" t="s">
        <v>19</v>
      </c>
      <c r="F35" s="607">
        <f t="shared" ref="F35:M35" ca="1" si="7">SUM(F15:F34)</f>
        <v>2580000</v>
      </c>
      <c r="G35" s="607">
        <f t="shared" ca="1" si="7"/>
        <v>0</v>
      </c>
      <c r="H35" s="607">
        <f t="shared" ca="1" si="7"/>
        <v>0</v>
      </c>
      <c r="I35" s="607">
        <f t="shared" ca="1" si="7"/>
        <v>0</v>
      </c>
      <c r="J35" s="607">
        <f t="shared" ca="1" si="7"/>
        <v>0</v>
      </c>
      <c r="K35" s="607">
        <f t="shared" ca="1" si="7"/>
        <v>0</v>
      </c>
      <c r="L35" s="607">
        <f t="shared" ca="1" si="7"/>
        <v>0</v>
      </c>
      <c r="M35" s="607">
        <f t="shared" ca="1" si="7"/>
        <v>2580000</v>
      </c>
    </row>
    <row r="36" spans="1:13" ht="22.5" customHeight="1">
      <c r="A36" s="615"/>
      <c r="B36" s="613"/>
      <c r="C36" s="615"/>
      <c r="D36" s="616" t="s">
        <v>317</v>
      </c>
      <c r="E36" s="611"/>
      <c r="F36" s="617">
        <f ca="1">SUM(G36:M36)</f>
        <v>2580000</v>
      </c>
      <c r="G36" s="617">
        <f t="shared" ref="G36:M36" ca="1" si="8">G35</f>
        <v>0</v>
      </c>
      <c r="H36" s="617">
        <f t="shared" ca="1" si="8"/>
        <v>0</v>
      </c>
      <c r="I36" s="617">
        <f t="shared" ref="I36" ca="1" si="9">I35</f>
        <v>0</v>
      </c>
      <c r="J36" s="617">
        <f t="shared" ca="1" si="8"/>
        <v>0</v>
      </c>
      <c r="K36" s="617">
        <f t="shared" ca="1" si="8"/>
        <v>0</v>
      </c>
      <c r="L36" s="617">
        <f t="shared" ref="L36" ca="1" si="10">L35</f>
        <v>0</v>
      </c>
      <c r="M36" s="617">
        <f t="shared" ca="1" si="8"/>
        <v>2580000</v>
      </c>
    </row>
    <row r="37" spans="1:13" ht="22.5" customHeight="1">
      <c r="A37" s="618"/>
      <c r="B37" s="618"/>
      <c r="C37" s="618"/>
      <c r="D37" s="619" t="s">
        <v>10</v>
      </c>
      <c r="E37" s="618" t="s">
        <v>19</v>
      </c>
      <c r="F37" s="620">
        <f t="shared" ref="F37:M37" ca="1" si="11">F15+F35-F36</f>
        <v>0</v>
      </c>
      <c r="G37" s="620">
        <f t="shared" ca="1" si="11"/>
        <v>0</v>
      </c>
      <c r="H37" s="620">
        <f t="shared" ca="1" si="11"/>
        <v>0</v>
      </c>
      <c r="I37" s="620">
        <f t="shared" ca="1" si="11"/>
        <v>0</v>
      </c>
      <c r="J37" s="620">
        <f t="shared" ca="1" si="11"/>
        <v>0</v>
      </c>
      <c r="K37" s="620">
        <f t="shared" ca="1" si="11"/>
        <v>0</v>
      </c>
      <c r="L37" s="620">
        <f t="shared" ca="1" si="11"/>
        <v>0</v>
      </c>
      <c r="M37" s="620">
        <f t="shared" ca="1" si="11"/>
        <v>0</v>
      </c>
    </row>
    <row r="39" spans="1:13">
      <c r="B39" s="621"/>
      <c r="C39" s="601" t="s">
        <v>318</v>
      </c>
    </row>
    <row r="40" spans="1:13">
      <c r="C40" s="601" t="str">
        <f ca="1">"Ngày mở sổ: "&amp;"01/"&amp;MONTH(A16)&amp;"/ "&amp;YEAR(A16)</f>
        <v>Ngày mở sổ: 01/8/ 2012</v>
      </c>
    </row>
    <row r="41" spans="1:13">
      <c r="E41" s="600"/>
      <c r="F41" s="600"/>
      <c r="G41" s="600"/>
      <c r="H41" s="600"/>
      <c r="I41" s="600"/>
      <c r="J41" s="893" t="str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Ngày  30  tháng  9   năm 2012</v>
      </c>
      <c r="K41" s="893"/>
      <c r="L41" s="893"/>
      <c r="M41" s="893"/>
    </row>
    <row r="42" spans="1:13">
      <c r="B42" s="600"/>
      <c r="C42" s="597" t="s">
        <v>11</v>
      </c>
      <c r="D42" s="600"/>
      <c r="E42" s="600"/>
      <c r="F42" s="600"/>
      <c r="G42" s="600"/>
      <c r="H42" s="600"/>
      <c r="I42" s="600"/>
      <c r="J42" s="893" t="s">
        <v>12</v>
      </c>
      <c r="K42" s="893"/>
      <c r="L42" s="893"/>
      <c r="M42" s="893"/>
    </row>
    <row r="43" spans="1:13">
      <c r="B43" s="600"/>
      <c r="C43" s="597" t="s">
        <v>13</v>
      </c>
      <c r="D43" s="600"/>
      <c r="E43" s="600"/>
      <c r="F43" s="600"/>
      <c r="G43" s="600"/>
      <c r="H43" s="600"/>
      <c r="I43" s="600"/>
      <c r="J43" s="600"/>
      <c r="K43" s="600" t="s">
        <v>13</v>
      </c>
      <c r="L43" s="600"/>
    </row>
  </sheetData>
  <mergeCells count="16">
    <mergeCell ref="C10:M10"/>
    <mergeCell ref="J2:M2"/>
    <mergeCell ref="A5:M5"/>
    <mergeCell ref="A6:M6"/>
    <mergeCell ref="J3:M4"/>
    <mergeCell ref="J41:M41"/>
    <mergeCell ref="J42:M42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0"/>
  <sheetViews>
    <sheetView topLeftCell="A11" zoomScale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1" width="10.28515625" style="597" customWidth="1"/>
    <col min="2" max="2" width="8.85546875" style="597" customWidth="1"/>
    <col min="3" max="3" width="10.5703125" style="597" customWidth="1"/>
    <col min="4" max="4" width="31.85546875" style="597" customWidth="1"/>
    <col min="5" max="5" width="10.28515625" style="597" customWidth="1"/>
    <col min="6" max="6" width="15.28515625" style="597" customWidth="1"/>
    <col min="7" max="7" width="9.42578125" style="597" customWidth="1"/>
    <col min="8" max="8" width="15.140625" style="597" customWidth="1"/>
    <col min="9" max="9" width="9.140625" style="597"/>
    <col min="10" max="10" width="16.28515625" style="597" customWidth="1"/>
    <col min="11" max="11" width="6" style="597" customWidth="1"/>
    <col min="12" max="16384" width="9.140625" style="597"/>
  </cols>
  <sheetData>
    <row r="2" spans="1:13">
      <c r="A2" s="596" t="str">
        <f>'154'!A2</f>
        <v>Đơn vị: CÔNG TY TNHH MỘT THÀNH VIÊN KHỞI NGUYÊN AN</v>
      </c>
      <c r="F2" s="598"/>
      <c r="G2" s="905" t="s">
        <v>305</v>
      </c>
      <c r="H2" s="905"/>
      <c r="I2" s="905"/>
      <c r="J2" s="905"/>
    </row>
    <row r="3" spans="1:13" ht="15" customHeight="1">
      <c r="A3" s="626" t="str">
        <f>'154'!A3</f>
        <v>Địa chỉ: Thửa đất số 144, tờ bản đồ số 12TĐH.1, tổ 1, khu phố Đông Tác, Phường Tân Đông Hiệp, Thị Xã Dĩ An, Tỉnh Bình Dương, Việt Nam</v>
      </c>
      <c r="G3" s="908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H3" s="908"/>
      <c r="I3" s="908"/>
      <c r="J3" s="908"/>
    </row>
    <row r="4" spans="1:13">
      <c r="G4" s="908"/>
      <c r="H4" s="908"/>
      <c r="I4" s="908"/>
      <c r="J4" s="908"/>
    </row>
    <row r="5" spans="1:13" ht="27" customHeight="1">
      <c r="A5" s="906" t="s">
        <v>306</v>
      </c>
      <c r="B5" s="906"/>
      <c r="C5" s="906"/>
      <c r="D5" s="906"/>
      <c r="E5" s="906"/>
      <c r="F5" s="906"/>
      <c r="G5" s="906"/>
      <c r="H5" s="906"/>
      <c r="I5" s="906"/>
      <c r="J5" s="906"/>
      <c r="K5" s="599" t="s">
        <v>162</v>
      </c>
      <c r="L5" s="532">
        <f>IF(L13="Quý I",1,IF(L13="Quý II",4,IF(L13="Quý III",7,IF(L13="Quý IV",10,""))))</f>
        <v>4</v>
      </c>
      <c r="M5" s="532">
        <f>IF(L13="Quý I",3,IF(L13="Quý II",6,IF(L13="Quý III",9,IF(L13="Quý IV",12,""))))</f>
        <v>6</v>
      </c>
    </row>
    <row r="6" spans="1:13">
      <c r="A6" s="907" t="s">
        <v>307</v>
      </c>
      <c r="B6" s="907"/>
      <c r="C6" s="907"/>
      <c r="D6" s="907"/>
      <c r="E6" s="907"/>
      <c r="F6" s="907"/>
      <c r="G6" s="907"/>
      <c r="H6" s="907"/>
      <c r="I6" s="907"/>
      <c r="J6" s="907"/>
    </row>
    <row r="7" spans="1:13">
      <c r="B7" s="600"/>
      <c r="C7" s="600"/>
      <c r="D7" s="600"/>
      <c r="E7" s="601" t="s">
        <v>319</v>
      </c>
      <c r="G7" s="600"/>
      <c r="H7" s="600"/>
      <c r="I7" s="600"/>
      <c r="J7" s="600"/>
    </row>
    <row r="8" spans="1:13">
      <c r="B8" s="600"/>
      <c r="C8" s="600"/>
      <c r="D8" s="600"/>
      <c r="E8" s="601" t="s">
        <v>309</v>
      </c>
      <c r="G8" s="600"/>
      <c r="H8" s="600"/>
      <c r="I8" s="600"/>
      <c r="J8" s="600"/>
    </row>
    <row r="9" spans="1:13">
      <c r="B9" s="602"/>
      <c r="C9" s="602"/>
      <c r="D9" s="602"/>
      <c r="E9" s="601" t="s">
        <v>310</v>
      </c>
      <c r="G9" s="602"/>
      <c r="H9" s="602"/>
      <c r="I9" s="602"/>
      <c r="J9" s="602"/>
    </row>
    <row r="10" spans="1:13" ht="9.75" customHeight="1">
      <c r="C10" s="904"/>
      <c r="D10" s="904"/>
      <c r="E10" s="904"/>
      <c r="F10" s="904"/>
      <c r="G10" s="904"/>
      <c r="H10" s="904"/>
      <c r="I10" s="904"/>
      <c r="J10" s="904"/>
    </row>
    <row r="11" spans="1:13" ht="15.75" customHeight="1">
      <c r="A11" s="901" t="s">
        <v>20</v>
      </c>
      <c r="B11" s="902" t="s">
        <v>1</v>
      </c>
      <c r="C11" s="902"/>
      <c r="D11" s="901" t="s">
        <v>0</v>
      </c>
      <c r="E11" s="901" t="s">
        <v>204</v>
      </c>
      <c r="F11" s="902" t="s">
        <v>320</v>
      </c>
      <c r="G11" s="902"/>
      <c r="H11" s="902"/>
      <c r="I11" s="902"/>
      <c r="J11" s="902"/>
    </row>
    <row r="12" spans="1:13" ht="15.75" customHeight="1" thickBot="1">
      <c r="A12" s="901"/>
      <c r="B12" s="903" t="s">
        <v>15</v>
      </c>
      <c r="C12" s="903" t="s">
        <v>32</v>
      </c>
      <c r="D12" s="901"/>
      <c r="E12" s="901"/>
      <c r="F12" s="903" t="s">
        <v>312</v>
      </c>
      <c r="G12" s="903" t="s">
        <v>313</v>
      </c>
      <c r="H12" s="903"/>
      <c r="I12" s="903"/>
      <c r="J12" s="903"/>
    </row>
    <row r="13" spans="1:13" ht="30.75" customHeight="1" thickBot="1">
      <c r="A13" s="901"/>
      <c r="B13" s="903"/>
      <c r="C13" s="903"/>
      <c r="D13" s="901"/>
      <c r="E13" s="901"/>
      <c r="F13" s="903"/>
      <c r="G13" s="603">
        <v>154</v>
      </c>
      <c r="H13" s="603">
        <v>155</v>
      </c>
      <c r="I13" s="603">
        <v>156</v>
      </c>
      <c r="J13" s="603">
        <v>157</v>
      </c>
      <c r="L13" s="625" t="s">
        <v>289</v>
      </c>
    </row>
    <row r="14" spans="1:13">
      <c r="A14" s="604" t="s">
        <v>2</v>
      </c>
      <c r="B14" s="604" t="s">
        <v>3</v>
      </c>
      <c r="C14" s="604" t="s">
        <v>4</v>
      </c>
      <c r="D14" s="604" t="s">
        <v>5</v>
      </c>
      <c r="E14" s="604" t="s">
        <v>6</v>
      </c>
      <c r="F14" s="604">
        <v>1</v>
      </c>
      <c r="G14" s="604">
        <v>2</v>
      </c>
      <c r="H14" s="604">
        <v>3</v>
      </c>
      <c r="I14" s="604">
        <v>4</v>
      </c>
      <c r="J14" s="604">
        <v>5</v>
      </c>
    </row>
    <row r="15" spans="1:13" ht="20.25" customHeight="1">
      <c r="A15" s="605"/>
      <c r="B15" s="605"/>
      <c r="C15" s="605"/>
      <c r="D15" s="606" t="s">
        <v>7</v>
      </c>
      <c r="E15" s="605"/>
      <c r="F15" s="607"/>
      <c r="G15" s="607"/>
      <c r="H15" s="607"/>
      <c r="I15" s="607"/>
      <c r="J15" s="607"/>
    </row>
    <row r="16" spans="1:13" ht="20.25" customHeight="1">
      <c r="A16" s="608" t="str">
        <f ca="1">IF(ROWS($1:1)&gt;COUNT(Dong8),"",OFFSET(TH!C$1,SMALL(Dong8,ROWS($1:1)),))</f>
        <v/>
      </c>
      <c r="B16" s="608" t="str">
        <f ca="1">IF(ROWS($1:1)&gt;COUNT(Dong8),"",OFFSET(TH!D$1,SMALL(Dong8,ROWS($1:1)),))</f>
        <v/>
      </c>
      <c r="C16" s="608" t="str">
        <f ca="1">IF(ROWS($1:1)&gt;COUNT(Dong8),"",OFFSET(TH!E$1,SMALL(Dong8,ROWS($1:1)),))</f>
        <v/>
      </c>
      <c r="D16" s="609" t="str">
        <f ca="1">IF(ROWS($1:1)&gt;COUNT(Dong8),"",OFFSET(TH!F$1,SMALL(Dong8,ROWS($1:1)),))</f>
        <v/>
      </c>
      <c r="E16" s="608" t="str">
        <f ca="1">IF(ROWS($1:1)&gt;COUNT(Dong8),"",OFFSET(TH!M$1,SMALL(Dong8,ROWS($1:1)),))</f>
        <v/>
      </c>
      <c r="F16" s="610" t="str">
        <f ca="1">IF(ROWS($1:1)&gt;COUNT(Dong8),"",OFFSET(TH!K$1,SMALL(Dong8,ROWS($1:1)),))</f>
        <v/>
      </c>
      <c r="G16" s="610">
        <f ca="1">IF($E16="154",$F16,0)</f>
        <v>0</v>
      </c>
      <c r="H16" s="610">
        <f ca="1">IF($E16="155",$F16,0)</f>
        <v>0</v>
      </c>
      <c r="I16" s="610">
        <f ca="1">IF($E16="156",$F16,0)</f>
        <v>0</v>
      </c>
      <c r="J16" s="610">
        <f ca="1">IF($E16="157",$F16,0)</f>
        <v>0</v>
      </c>
    </row>
    <row r="17" spans="1:10" ht="20.25" customHeight="1">
      <c r="A17" s="608" t="str">
        <f ca="1">IF(ROWS($1:2)&gt;COUNT(Dong8),"",OFFSET(TH!C$1,SMALL(Dong8,ROWS($1:2)),))</f>
        <v/>
      </c>
      <c r="B17" s="608" t="str">
        <f ca="1">IF(ROWS($1:2)&gt;COUNT(Dong8),"",OFFSET(TH!D$1,SMALL(Dong8,ROWS($1:2)),))</f>
        <v/>
      </c>
      <c r="C17" s="608" t="str">
        <f ca="1">IF(ROWS($1:2)&gt;COUNT(Dong8),"",OFFSET(TH!E$1,SMALL(Dong8,ROWS($1:2)),))</f>
        <v/>
      </c>
      <c r="D17" s="609" t="str">
        <f ca="1">IF(ROWS($1:2)&gt;COUNT(Dong8),"",OFFSET(TH!F$1,SMALL(Dong8,ROWS($1:2)),))</f>
        <v/>
      </c>
      <c r="E17" s="608" t="str">
        <f ca="1">IF(ROWS($1:2)&gt;COUNT(Dong8),"",OFFSET(TH!M$1,SMALL(Dong8,ROWS($1:2)),))</f>
        <v/>
      </c>
      <c r="F17" s="610" t="str">
        <f ca="1">IF(ROWS($1:2)&gt;COUNT(Dong8),"",OFFSET(TH!K$1,SMALL(Dong8,ROWS($1:2)),))</f>
        <v/>
      </c>
      <c r="G17" s="610">
        <f t="shared" ref="G17:G20" ca="1" si="0">IF($E17="154",$F17,0)</f>
        <v>0</v>
      </c>
      <c r="H17" s="610">
        <f t="shared" ref="H17:H20" ca="1" si="1">IF($E17="155",$F17,0)</f>
        <v>0</v>
      </c>
      <c r="I17" s="610">
        <f t="shared" ref="I17:I20" ca="1" si="2">IF($E17="156",$F17,0)</f>
        <v>0</v>
      </c>
      <c r="J17" s="610">
        <f t="shared" ref="J17:J20" ca="1" si="3">IF($E17="157",$F17,0)</f>
        <v>0</v>
      </c>
    </row>
    <row r="18" spans="1:10" ht="20.25" customHeight="1">
      <c r="A18" s="608" t="str">
        <f ca="1">IF(ROWS($1:3)&gt;COUNT(Dong8),"",OFFSET(TH!C$1,SMALL(Dong8,ROWS($1:3)),))</f>
        <v/>
      </c>
      <c r="B18" s="608" t="str">
        <f ca="1">IF(ROWS($1:3)&gt;COUNT(Dong8),"",OFFSET(TH!D$1,SMALL(Dong8,ROWS($1:3)),))</f>
        <v/>
      </c>
      <c r="C18" s="608" t="str">
        <f ca="1">IF(ROWS($1:3)&gt;COUNT(Dong8),"",OFFSET(TH!E$1,SMALL(Dong8,ROWS($1:3)),))</f>
        <v/>
      </c>
      <c r="D18" s="609" t="str">
        <f ca="1">IF(ROWS($1:3)&gt;COUNT(Dong8),"",OFFSET(TH!F$1,SMALL(Dong8,ROWS($1:3)),))</f>
        <v/>
      </c>
      <c r="E18" s="608" t="str">
        <f ca="1">IF(ROWS($1:3)&gt;COUNT(Dong8),"",OFFSET(TH!M$1,SMALL(Dong8,ROWS($1:3)),))</f>
        <v/>
      </c>
      <c r="F18" s="610" t="str">
        <f ca="1">IF(ROWS($1:3)&gt;COUNT(Dong8),"",OFFSET(TH!K$1,SMALL(Dong8,ROWS($1:3)),))</f>
        <v/>
      </c>
      <c r="G18" s="610">
        <f t="shared" ca="1" si="0"/>
        <v>0</v>
      </c>
      <c r="H18" s="610">
        <f t="shared" ca="1" si="1"/>
        <v>0</v>
      </c>
      <c r="I18" s="610">
        <f t="shared" ca="1" si="2"/>
        <v>0</v>
      </c>
      <c r="J18" s="610">
        <f t="shared" ca="1" si="3"/>
        <v>0</v>
      </c>
    </row>
    <row r="19" spans="1:10" ht="20.25" customHeight="1">
      <c r="A19" s="608" t="str">
        <f ca="1">IF(ROWS($1:4)&gt;COUNT(Dong8),"",OFFSET(TH!C$1,SMALL(Dong8,ROWS($1:4)),))</f>
        <v/>
      </c>
      <c r="B19" s="608" t="str">
        <f ca="1">IF(ROWS($1:4)&gt;COUNT(Dong8),"",OFFSET(TH!D$1,SMALL(Dong8,ROWS($1:4)),))</f>
        <v/>
      </c>
      <c r="C19" s="608" t="str">
        <f ca="1">IF(ROWS($1:4)&gt;COUNT(Dong8),"",OFFSET(TH!E$1,SMALL(Dong8,ROWS($1:4)),))</f>
        <v/>
      </c>
      <c r="D19" s="609" t="str">
        <f ca="1">IF(ROWS($1:4)&gt;COUNT(Dong8),"",OFFSET(TH!F$1,SMALL(Dong8,ROWS($1:4)),))</f>
        <v/>
      </c>
      <c r="E19" s="608" t="str">
        <f ca="1">IF(ROWS($1:4)&gt;COUNT(Dong8),"",OFFSET(TH!M$1,SMALL(Dong8,ROWS($1:4)),))</f>
        <v/>
      </c>
      <c r="F19" s="610" t="str">
        <f ca="1">IF(ROWS($1:4)&gt;COUNT(Dong8),"",OFFSET(TH!K$1,SMALL(Dong8,ROWS($1:4)),))</f>
        <v/>
      </c>
      <c r="G19" s="610">
        <f t="shared" ca="1" si="0"/>
        <v>0</v>
      </c>
      <c r="H19" s="610">
        <f t="shared" ca="1" si="1"/>
        <v>0</v>
      </c>
      <c r="I19" s="610">
        <f t="shared" ca="1" si="2"/>
        <v>0</v>
      </c>
      <c r="J19" s="610">
        <f t="shared" ca="1" si="3"/>
        <v>0</v>
      </c>
    </row>
    <row r="20" spans="1:10" ht="20.25" customHeight="1">
      <c r="A20" s="608" t="str">
        <f ca="1">IF(ROWS($1:5)&gt;COUNT(Dong8),"",OFFSET(TH!C$1,SMALL(Dong8,ROWS($1:5)),))</f>
        <v/>
      </c>
      <c r="B20" s="608" t="str">
        <f ca="1">IF(ROWS($1:5)&gt;COUNT(Dong8),"",OFFSET(TH!D$1,SMALL(Dong8,ROWS($1:5)),))</f>
        <v/>
      </c>
      <c r="C20" s="608" t="str">
        <f ca="1">IF(ROWS($1:5)&gt;COUNT(Dong8),"",OFFSET(TH!E$1,SMALL(Dong8,ROWS($1:5)),))</f>
        <v/>
      </c>
      <c r="D20" s="609" t="str">
        <f ca="1">IF(ROWS($1:5)&gt;COUNT(Dong8),"",OFFSET(TH!F$1,SMALL(Dong8,ROWS($1:5)),))</f>
        <v/>
      </c>
      <c r="E20" s="608" t="str">
        <f ca="1">IF(ROWS($1:5)&gt;COUNT(Dong8),"",OFFSET(TH!M$1,SMALL(Dong8,ROWS($1:5)),))</f>
        <v/>
      </c>
      <c r="F20" s="610" t="str">
        <f ca="1">IF(ROWS($1:5)&gt;COUNT(Dong8),"",OFFSET(TH!K$1,SMALL(Dong8,ROWS($1:5)),))</f>
        <v/>
      </c>
      <c r="G20" s="610">
        <f t="shared" ca="1" si="0"/>
        <v>0</v>
      </c>
      <c r="H20" s="610">
        <f t="shared" ca="1" si="1"/>
        <v>0</v>
      </c>
      <c r="I20" s="610">
        <f t="shared" ca="1" si="2"/>
        <v>0</v>
      </c>
      <c r="J20" s="610">
        <f t="shared" ca="1" si="3"/>
        <v>0</v>
      </c>
    </row>
    <row r="21" spans="1:10" ht="20.25" customHeight="1">
      <c r="A21" s="608"/>
      <c r="B21" s="611"/>
      <c r="C21" s="608"/>
      <c r="D21" s="612"/>
      <c r="E21" s="613"/>
      <c r="F21" s="614"/>
      <c r="G21" s="614"/>
      <c r="H21" s="614"/>
      <c r="I21" s="614"/>
      <c r="J21" s="614"/>
    </row>
    <row r="22" spans="1:10" ht="20.25" customHeight="1">
      <c r="A22" s="608"/>
      <c r="B22" s="611"/>
      <c r="C22" s="608"/>
      <c r="D22" s="606" t="s">
        <v>133</v>
      </c>
      <c r="E22" s="605" t="s">
        <v>19</v>
      </c>
      <c r="F22" s="607">
        <f ca="1">SUM(F15:F21)</f>
        <v>0</v>
      </c>
      <c r="G22" s="607">
        <f ca="1">SUM(G15:G21)</f>
        <v>0</v>
      </c>
      <c r="H22" s="607">
        <f ca="1">SUM(H15:H21)</f>
        <v>0</v>
      </c>
      <c r="I22" s="607">
        <f ca="1">SUM(I15:I21)</f>
        <v>0</v>
      </c>
      <c r="J22" s="607">
        <f ca="1">SUM(J15:J21)</f>
        <v>0</v>
      </c>
    </row>
    <row r="23" spans="1:10" ht="20.25" customHeight="1">
      <c r="A23" s="615"/>
      <c r="B23" s="613"/>
      <c r="C23" s="615"/>
      <c r="D23" s="616" t="s">
        <v>321</v>
      </c>
      <c r="E23" s="611"/>
      <c r="F23" s="617">
        <f ca="1">SUM(G23:J23)</f>
        <v>0</v>
      </c>
      <c r="G23" s="617">
        <f ca="1">G22</f>
        <v>0</v>
      </c>
      <c r="H23" s="617">
        <f ca="1">H22</f>
        <v>0</v>
      </c>
      <c r="I23" s="617">
        <f ca="1">I22</f>
        <v>0</v>
      </c>
      <c r="J23" s="617">
        <f ca="1">J22</f>
        <v>0</v>
      </c>
    </row>
    <row r="24" spans="1:10" ht="20.25" customHeight="1">
      <c r="A24" s="618"/>
      <c r="B24" s="618"/>
      <c r="C24" s="618"/>
      <c r="D24" s="619" t="s">
        <v>10</v>
      </c>
      <c r="E24" s="618" t="s">
        <v>19</v>
      </c>
      <c r="F24" s="620">
        <f ca="1">F15+F22-F23</f>
        <v>0</v>
      </c>
      <c r="G24" s="620">
        <f ca="1">G15+G22-G23</f>
        <v>0</v>
      </c>
      <c r="H24" s="620">
        <f ca="1">H15+H22-H23</f>
        <v>0</v>
      </c>
      <c r="I24" s="620">
        <f ca="1">I15+I22-I23</f>
        <v>0</v>
      </c>
      <c r="J24" s="620">
        <f ca="1">J15+J22-J23</f>
        <v>0</v>
      </c>
    </row>
    <row r="26" spans="1:10">
      <c r="B26" s="621"/>
      <c r="C26" s="601" t="s">
        <v>322</v>
      </c>
    </row>
    <row r="27" spans="1:10">
      <c r="C27" s="601" t="e">
        <f ca="1">"- Ngày mở sổ: "&amp;"01/"&amp;MONTH(A16)&amp;"/ "&amp;YEAR(A16)</f>
        <v>#VALUE!</v>
      </c>
    </row>
    <row r="28" spans="1:10">
      <c r="E28" s="600"/>
      <c r="F28" s="600"/>
      <c r="G28" s="600"/>
      <c r="H28" s="600"/>
      <c r="I28" s="893" t="e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#VALUE!</v>
      </c>
      <c r="J28" s="893"/>
    </row>
    <row r="29" spans="1:10">
      <c r="B29" s="600"/>
      <c r="C29" s="597" t="s">
        <v>11</v>
      </c>
      <c r="D29" s="600"/>
      <c r="E29" s="600"/>
      <c r="F29" s="600"/>
      <c r="G29" s="600"/>
      <c r="H29" s="600"/>
      <c r="I29" s="893" t="s">
        <v>12</v>
      </c>
      <c r="J29" s="893"/>
    </row>
    <row r="30" spans="1:10">
      <c r="B30" s="600"/>
      <c r="C30" s="597" t="s">
        <v>13</v>
      </c>
      <c r="D30" s="600"/>
      <c r="E30" s="600"/>
      <c r="F30" s="600"/>
      <c r="G30" s="600"/>
      <c r="H30" s="600"/>
      <c r="I30" s="600"/>
      <c r="J30" s="600" t="s">
        <v>13</v>
      </c>
    </row>
  </sheetData>
  <mergeCells count="16">
    <mergeCell ref="I29:J29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  <mergeCell ref="G3:J4"/>
    <mergeCell ref="G2:J2"/>
    <mergeCell ref="F12:F13"/>
    <mergeCell ref="G12:J12"/>
    <mergeCell ref="I28:J28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2" width="8.85546875" style="597" customWidth="1"/>
    <col min="3" max="3" width="8.5703125" style="597" customWidth="1"/>
    <col min="4" max="4" width="51.42578125" style="597" customWidth="1"/>
    <col min="5" max="5" width="8" style="597" customWidth="1"/>
    <col min="6" max="6" width="12.28515625" style="597" bestFit="1" customWidth="1"/>
    <col min="7" max="7" width="10.140625" style="597" customWidth="1"/>
    <col min="8" max="8" width="10.7109375" style="597" customWidth="1"/>
    <col min="9" max="9" width="11.42578125" style="597" customWidth="1"/>
    <col min="10" max="10" width="11.5703125" style="597" customWidth="1"/>
    <col min="11" max="11" width="11.42578125" style="597" customWidth="1"/>
    <col min="12" max="12" width="9.42578125" style="597" customWidth="1"/>
    <col min="13" max="13" width="6.7109375" style="597" customWidth="1"/>
    <col min="14" max="16384" width="9.140625" style="597"/>
  </cols>
  <sheetData>
    <row r="2" spans="1:15">
      <c r="A2" s="596" t="str">
        <f>'632'!A2</f>
        <v>Đơn vị: CÔNG TY TNHH MỘT THÀNH VIÊN KHỞI NGUYÊN AN</v>
      </c>
      <c r="F2" s="598"/>
      <c r="G2" s="598"/>
      <c r="H2" s="905" t="s">
        <v>305</v>
      </c>
      <c r="I2" s="905"/>
      <c r="J2" s="905"/>
      <c r="K2" s="905"/>
      <c r="L2" s="622"/>
    </row>
    <row r="3" spans="1:15" ht="15" customHeight="1">
      <c r="A3" s="626" t="str">
        <f>'632'!A3</f>
        <v>Địa chỉ: Thửa đất số 144, tờ bản đồ số 12TĐH.1, tổ 1, khu phố Đông Tác, Phường Tân Đông Hiệp, Thị Xã Dĩ An, Tỉnh Bình Dương, Việt Nam</v>
      </c>
      <c r="H3" s="908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I3" s="908"/>
      <c r="J3" s="908"/>
      <c r="K3" s="908"/>
      <c r="L3" s="600"/>
    </row>
    <row r="4" spans="1:15">
      <c r="H4" s="908"/>
      <c r="I4" s="908"/>
      <c r="J4" s="908"/>
      <c r="K4" s="908"/>
      <c r="L4" s="600"/>
    </row>
    <row r="5" spans="1:15" ht="19.5" customHeight="1">
      <c r="A5" s="906" t="s">
        <v>306</v>
      </c>
      <c r="B5" s="906"/>
      <c r="C5" s="906"/>
      <c r="D5" s="906"/>
      <c r="E5" s="906"/>
      <c r="F5" s="906"/>
      <c r="G5" s="906"/>
      <c r="H5" s="906"/>
      <c r="I5" s="906"/>
      <c r="J5" s="906"/>
      <c r="K5" s="906"/>
      <c r="L5" s="906"/>
      <c r="M5" s="599" t="s">
        <v>83</v>
      </c>
      <c r="N5" s="532">
        <f>IF(N13="Quý I",1,IF(N13="Quý II",4,IF(N13="Quý III",7,IF(N13="Quý IV",10,""))))</f>
        <v>4</v>
      </c>
      <c r="O5" s="532">
        <f>IF(N13="Quý I",3,IF(N13="Quý II",6,IF(N13="Quý III",9,IF(N13="Quý IV",12,""))))</f>
        <v>6</v>
      </c>
    </row>
    <row r="6" spans="1:15">
      <c r="A6" s="907" t="s">
        <v>307</v>
      </c>
      <c r="B6" s="907"/>
      <c r="C6" s="907"/>
      <c r="D6" s="907"/>
      <c r="E6" s="907"/>
      <c r="F6" s="907"/>
      <c r="G6" s="907"/>
      <c r="H6" s="907"/>
      <c r="I6" s="907"/>
      <c r="J6" s="907"/>
      <c r="K6" s="907"/>
      <c r="L6" s="907"/>
    </row>
    <row r="7" spans="1:15">
      <c r="B7" s="600"/>
      <c r="C7" s="600"/>
      <c r="D7" s="600"/>
      <c r="E7" s="601" t="s">
        <v>323</v>
      </c>
      <c r="G7" s="600"/>
      <c r="H7" s="600"/>
      <c r="I7" s="600"/>
      <c r="J7" s="600"/>
      <c r="K7" s="600"/>
      <c r="L7" s="600"/>
      <c r="M7" s="627"/>
    </row>
    <row r="8" spans="1:15">
      <c r="B8" s="600"/>
      <c r="C8" s="600"/>
      <c r="D8" s="600"/>
      <c r="E8" s="601" t="s">
        <v>309</v>
      </c>
      <c r="G8" s="600"/>
      <c r="H8" s="600"/>
      <c r="I8" s="600"/>
      <c r="J8" s="600"/>
      <c r="K8" s="600"/>
      <c r="L8" s="600"/>
    </row>
    <row r="9" spans="1:15">
      <c r="B9" s="602"/>
      <c r="C9" s="602"/>
      <c r="D9" s="602"/>
      <c r="E9" s="601" t="s">
        <v>310</v>
      </c>
      <c r="G9" s="602"/>
      <c r="H9" s="602"/>
      <c r="I9" s="602"/>
      <c r="J9" s="602"/>
      <c r="K9" s="602"/>
      <c r="L9" s="602"/>
    </row>
    <row r="10" spans="1:15" ht="9" customHeight="1">
      <c r="C10" s="904"/>
      <c r="D10" s="904"/>
      <c r="E10" s="904"/>
      <c r="F10" s="904"/>
      <c r="G10" s="904"/>
      <c r="H10" s="904"/>
      <c r="I10" s="904"/>
      <c r="J10" s="904"/>
      <c r="K10" s="904"/>
      <c r="L10" s="904"/>
    </row>
    <row r="11" spans="1:15" ht="15.75" customHeight="1">
      <c r="A11" s="901" t="s">
        <v>20</v>
      </c>
      <c r="B11" s="902" t="s">
        <v>1</v>
      </c>
      <c r="C11" s="902"/>
      <c r="D11" s="901" t="s">
        <v>0</v>
      </c>
      <c r="E11" s="901" t="s">
        <v>204</v>
      </c>
      <c r="F11" s="902" t="s">
        <v>324</v>
      </c>
      <c r="G11" s="902"/>
      <c r="H11" s="902"/>
      <c r="I11" s="902"/>
      <c r="J11" s="902"/>
      <c r="K11" s="902"/>
      <c r="L11" s="902"/>
    </row>
    <row r="12" spans="1:15" ht="15.75" customHeight="1" thickBot="1">
      <c r="A12" s="901"/>
      <c r="B12" s="903" t="s">
        <v>15</v>
      </c>
      <c r="C12" s="903" t="s">
        <v>32</v>
      </c>
      <c r="D12" s="901"/>
      <c r="E12" s="901"/>
      <c r="F12" s="903" t="s">
        <v>312</v>
      </c>
      <c r="G12" s="903" t="s">
        <v>313</v>
      </c>
      <c r="H12" s="903"/>
      <c r="I12" s="903"/>
      <c r="J12" s="903"/>
      <c r="K12" s="903"/>
      <c r="L12" s="903"/>
    </row>
    <row r="13" spans="1:15" ht="29.25" customHeight="1" thickBot="1">
      <c r="A13" s="901"/>
      <c r="B13" s="903"/>
      <c r="C13" s="903"/>
      <c r="D13" s="901"/>
      <c r="E13" s="901"/>
      <c r="F13" s="903"/>
      <c r="G13" s="623" t="s">
        <v>47</v>
      </c>
      <c r="H13" s="623" t="s">
        <v>24</v>
      </c>
      <c r="I13" s="623" t="s">
        <v>63</v>
      </c>
      <c r="J13" s="623" t="s">
        <v>254</v>
      </c>
      <c r="K13" s="623"/>
      <c r="L13" s="623"/>
      <c r="N13" s="625" t="s">
        <v>289</v>
      </c>
    </row>
    <row r="14" spans="1:15">
      <c r="A14" s="604" t="s">
        <v>2</v>
      </c>
      <c r="B14" s="604" t="s">
        <v>3</v>
      </c>
      <c r="C14" s="604" t="s">
        <v>4</v>
      </c>
      <c r="D14" s="604" t="s">
        <v>5</v>
      </c>
      <c r="E14" s="604" t="s">
        <v>6</v>
      </c>
      <c r="F14" s="604">
        <v>1</v>
      </c>
      <c r="G14" s="604">
        <v>2</v>
      </c>
      <c r="H14" s="604">
        <v>3</v>
      </c>
      <c r="I14" s="604">
        <v>4</v>
      </c>
      <c r="J14" s="604">
        <v>5</v>
      </c>
      <c r="K14" s="604">
        <v>6</v>
      </c>
      <c r="L14" s="604">
        <v>7</v>
      </c>
    </row>
    <row r="15" spans="1:15" ht="21.75" customHeight="1">
      <c r="A15" s="605"/>
      <c r="B15" s="605"/>
      <c r="C15" s="605"/>
      <c r="D15" s="606" t="s">
        <v>7</v>
      </c>
      <c r="E15" s="605"/>
      <c r="F15" s="607"/>
      <c r="G15" s="607"/>
      <c r="H15" s="607"/>
      <c r="I15" s="607"/>
      <c r="J15" s="607"/>
      <c r="K15" s="607"/>
      <c r="L15" s="607"/>
    </row>
    <row r="16" spans="1:15" ht="21.75" customHeight="1">
      <c r="A16" s="608" t="str">
        <f ca="1">IF(ROWS($1:1)&gt;COUNT(Dong7),"",OFFSET(TH!C$1,SMALL(Dong7,ROWS($1:1)),))</f>
        <v/>
      </c>
      <c r="B16" s="608" t="str">
        <f ca="1">IF(ROWS($1:1)&gt;COUNT(Dong7),"",OFFSET(TH!D$1,SMALL(Dong7,ROWS($1:1)),))</f>
        <v/>
      </c>
      <c r="C16" s="608" t="str">
        <f ca="1">IF(ROWS($1:1)&gt;COUNT(Dong7),"",OFFSET(TH!E$1,SMALL(Dong7,ROWS($1:1)),))</f>
        <v/>
      </c>
      <c r="D16" s="609" t="str">
        <f ca="1">IF(ROWS($1:1)&gt;COUNT(Dong7),"",OFFSET(TH!F$1,SMALL(Dong7,ROWS($1:1)),))</f>
        <v/>
      </c>
      <c r="E16" s="608" t="str">
        <f ca="1">IF(ROWS($1:1)&gt;COUNT(Dong7),"",OFFSET(TH!M$1,SMALL(Dong7,ROWS($1:1)),))</f>
        <v/>
      </c>
      <c r="F16" s="610" t="str">
        <f ca="1">IF(ROWS($1:1)&gt;COUNT(Dong7),"",OFFSET(TH!K$1,SMALL(Dong7,ROWS($1:1)),))</f>
        <v/>
      </c>
      <c r="G16" s="610">
        <f t="shared" ref="G16:J30" ca="1" si="0">IF($E16=G$13,$F16,0)</f>
        <v>0</v>
      </c>
      <c r="H16" s="610">
        <f t="shared" ca="1" si="0"/>
        <v>0</v>
      </c>
      <c r="I16" s="610">
        <f t="shared" ca="1" si="0"/>
        <v>0</v>
      </c>
      <c r="J16" s="610">
        <f t="shared" ca="1" si="0"/>
        <v>0</v>
      </c>
      <c r="K16" s="610" t="str">
        <f ca="1">IF(LEFT($E16,3)=K$13,$F16,0)</f>
        <v/>
      </c>
      <c r="L16" s="610" t="str">
        <f ca="1">IF(LEFT($E16,3)=L$13,$F16,0)</f>
        <v/>
      </c>
    </row>
    <row r="17" spans="1:12" ht="21.75" customHeight="1">
      <c r="A17" s="608" t="str">
        <f ca="1">IF(ROWS($1:2)&gt;COUNT(Dong7),"",OFFSET(TH!C$1,SMALL(Dong7,ROWS($1:2)),))</f>
        <v/>
      </c>
      <c r="B17" s="608" t="str">
        <f ca="1">IF(ROWS($1:2)&gt;COUNT(Dong7),"",OFFSET(TH!D$1,SMALL(Dong7,ROWS($1:2)),))</f>
        <v/>
      </c>
      <c r="C17" s="608" t="str">
        <f ca="1">IF(ROWS($1:2)&gt;COUNT(Dong7),"",OFFSET(TH!E$1,SMALL(Dong7,ROWS($1:2)),))</f>
        <v/>
      </c>
      <c r="D17" s="609" t="str">
        <f ca="1">IF(ROWS($1:2)&gt;COUNT(Dong7),"",OFFSET(TH!F$1,SMALL(Dong7,ROWS($1:2)),))</f>
        <v/>
      </c>
      <c r="E17" s="608" t="str">
        <f ca="1">IF(ROWS($1:2)&gt;COUNT(Dong7),"",OFFSET(TH!M$1,SMALL(Dong7,ROWS($1:2)),))</f>
        <v/>
      </c>
      <c r="F17" s="610" t="str">
        <f ca="1">IF(ROWS($1:2)&gt;COUNT(Dong7),"",OFFSET(TH!K$1,SMALL(Dong7,ROWS($1:2)),))</f>
        <v/>
      </c>
      <c r="G17" s="610">
        <f t="shared" ca="1" si="0"/>
        <v>0</v>
      </c>
      <c r="H17" s="610">
        <f t="shared" ca="1" si="0"/>
        <v>0</v>
      </c>
      <c r="I17" s="610">
        <f t="shared" ca="1" si="0"/>
        <v>0</v>
      </c>
      <c r="J17" s="610">
        <f t="shared" ca="1" si="0"/>
        <v>0</v>
      </c>
      <c r="K17" s="610" t="str">
        <f t="shared" ref="K17:L30" ca="1" si="1">IF(LEFT($E17,3)=K$13,$F17,0)</f>
        <v/>
      </c>
      <c r="L17" s="610" t="str">
        <f t="shared" ca="1" si="1"/>
        <v/>
      </c>
    </row>
    <row r="18" spans="1:12" ht="21.75" customHeight="1">
      <c r="A18" s="608" t="str">
        <f ca="1">IF(ROWS($1:3)&gt;COUNT(Dong7),"",OFFSET(TH!C$1,SMALL(Dong7,ROWS($1:3)),))</f>
        <v/>
      </c>
      <c r="B18" s="608" t="str">
        <f ca="1">IF(ROWS($1:3)&gt;COUNT(Dong7),"",OFFSET(TH!D$1,SMALL(Dong7,ROWS($1:3)),))</f>
        <v/>
      </c>
      <c r="C18" s="608" t="str">
        <f ca="1">IF(ROWS($1:3)&gt;COUNT(Dong7),"",OFFSET(TH!E$1,SMALL(Dong7,ROWS($1:3)),))</f>
        <v/>
      </c>
      <c r="D18" s="609" t="str">
        <f ca="1">IF(ROWS($1:3)&gt;COUNT(Dong7),"",OFFSET(TH!F$1,SMALL(Dong7,ROWS($1:3)),))</f>
        <v/>
      </c>
      <c r="E18" s="608" t="str">
        <f ca="1">IF(ROWS($1:3)&gt;COUNT(Dong7),"",OFFSET(TH!M$1,SMALL(Dong7,ROWS($1:3)),))</f>
        <v/>
      </c>
      <c r="F18" s="610" t="str">
        <f ca="1">IF(ROWS($1:3)&gt;COUNT(Dong7),"",OFFSET(TH!K$1,SMALL(Dong7,ROWS($1:3)),))</f>
        <v/>
      </c>
      <c r="G18" s="610">
        <f t="shared" ca="1" si="0"/>
        <v>0</v>
      </c>
      <c r="H18" s="610">
        <f t="shared" ca="1" si="0"/>
        <v>0</v>
      </c>
      <c r="I18" s="610">
        <f t="shared" ca="1" si="0"/>
        <v>0</v>
      </c>
      <c r="J18" s="610">
        <f t="shared" ca="1" si="0"/>
        <v>0</v>
      </c>
      <c r="K18" s="610" t="str">
        <f t="shared" ca="1" si="1"/>
        <v/>
      </c>
      <c r="L18" s="610" t="str">
        <f t="shared" ca="1" si="1"/>
        <v/>
      </c>
    </row>
    <row r="19" spans="1:12" ht="21.75" customHeight="1">
      <c r="A19" s="608" t="str">
        <f ca="1">IF(ROWS($1:4)&gt;COUNT(Dong7),"",OFFSET(TH!C$1,SMALL(Dong7,ROWS($1:4)),))</f>
        <v/>
      </c>
      <c r="B19" s="608" t="str">
        <f ca="1">IF(ROWS($1:4)&gt;COUNT(Dong7),"",OFFSET(TH!D$1,SMALL(Dong7,ROWS($1:4)),))</f>
        <v/>
      </c>
      <c r="C19" s="608" t="str">
        <f ca="1">IF(ROWS($1:4)&gt;COUNT(Dong7),"",OFFSET(TH!E$1,SMALL(Dong7,ROWS($1:4)),))</f>
        <v/>
      </c>
      <c r="D19" s="609" t="str">
        <f ca="1">IF(ROWS($1:4)&gt;COUNT(Dong7),"",OFFSET(TH!F$1,SMALL(Dong7,ROWS($1:4)),))</f>
        <v/>
      </c>
      <c r="E19" s="608" t="str">
        <f ca="1">IF(ROWS($1:4)&gt;COUNT(Dong7),"",OFFSET(TH!M$1,SMALL(Dong7,ROWS($1:4)),))</f>
        <v/>
      </c>
      <c r="F19" s="610" t="str">
        <f ca="1">IF(ROWS($1:4)&gt;COUNT(Dong7),"",OFFSET(TH!K$1,SMALL(Dong7,ROWS($1:4)),))</f>
        <v/>
      </c>
      <c r="G19" s="610">
        <f t="shared" ca="1" si="0"/>
        <v>0</v>
      </c>
      <c r="H19" s="610">
        <f t="shared" ca="1" si="0"/>
        <v>0</v>
      </c>
      <c r="I19" s="610">
        <f t="shared" ca="1" si="0"/>
        <v>0</v>
      </c>
      <c r="J19" s="610">
        <f t="shared" ca="1" si="0"/>
        <v>0</v>
      </c>
      <c r="K19" s="610" t="str">
        <f t="shared" ca="1" si="1"/>
        <v/>
      </c>
      <c r="L19" s="610" t="str">
        <f t="shared" ca="1" si="1"/>
        <v/>
      </c>
    </row>
    <row r="20" spans="1:12" ht="21.75" customHeight="1">
      <c r="A20" s="608" t="str">
        <f ca="1">IF(ROWS($1:5)&gt;COUNT(Dong7),"",OFFSET(TH!C$1,SMALL(Dong7,ROWS($1:5)),))</f>
        <v/>
      </c>
      <c r="B20" s="608" t="str">
        <f ca="1">IF(ROWS($1:5)&gt;COUNT(Dong7),"",OFFSET(TH!D$1,SMALL(Dong7,ROWS($1:5)),))</f>
        <v/>
      </c>
      <c r="C20" s="608" t="str">
        <f ca="1">IF(ROWS($1:5)&gt;COUNT(Dong7),"",OFFSET(TH!E$1,SMALL(Dong7,ROWS($1:5)),))</f>
        <v/>
      </c>
      <c r="D20" s="609" t="str">
        <f ca="1">IF(ROWS($1:5)&gt;COUNT(Dong7),"",OFFSET(TH!F$1,SMALL(Dong7,ROWS($1:5)),))</f>
        <v/>
      </c>
      <c r="E20" s="608" t="str">
        <f ca="1">IF(ROWS($1:5)&gt;COUNT(Dong7),"",OFFSET(TH!M$1,SMALL(Dong7,ROWS($1:5)),))</f>
        <v/>
      </c>
      <c r="F20" s="610" t="str">
        <f ca="1">IF(ROWS($1:5)&gt;COUNT(Dong7),"",OFFSET(TH!K$1,SMALL(Dong7,ROWS($1:5)),))</f>
        <v/>
      </c>
      <c r="G20" s="610">
        <f t="shared" ca="1" si="0"/>
        <v>0</v>
      </c>
      <c r="H20" s="610">
        <f t="shared" ca="1" si="0"/>
        <v>0</v>
      </c>
      <c r="I20" s="610">
        <f t="shared" ca="1" si="0"/>
        <v>0</v>
      </c>
      <c r="J20" s="610">
        <f t="shared" ca="1" si="0"/>
        <v>0</v>
      </c>
      <c r="K20" s="610" t="str">
        <f t="shared" ca="1" si="1"/>
        <v/>
      </c>
      <c r="L20" s="610" t="str">
        <f t="shared" ca="1" si="1"/>
        <v/>
      </c>
    </row>
    <row r="21" spans="1:12" ht="21.75" customHeight="1">
      <c r="A21" s="608" t="str">
        <f ca="1">IF(ROWS($1:6)&gt;COUNT(Dong7),"",OFFSET(TH!C$1,SMALL(Dong7,ROWS($1:6)),))</f>
        <v/>
      </c>
      <c r="B21" s="608" t="str">
        <f ca="1">IF(ROWS($1:6)&gt;COUNT(Dong7),"",OFFSET(TH!D$1,SMALL(Dong7,ROWS($1:6)),))</f>
        <v/>
      </c>
      <c r="C21" s="608" t="str">
        <f ca="1">IF(ROWS($1:6)&gt;COUNT(Dong7),"",OFFSET(TH!E$1,SMALL(Dong7,ROWS($1:6)),))</f>
        <v/>
      </c>
      <c r="D21" s="609" t="str">
        <f ca="1">IF(ROWS($1:6)&gt;COUNT(Dong7),"",OFFSET(TH!F$1,SMALL(Dong7,ROWS($1:6)),))</f>
        <v/>
      </c>
      <c r="E21" s="608" t="str">
        <f ca="1">IF(ROWS($1:6)&gt;COUNT(Dong7),"",OFFSET(TH!M$1,SMALL(Dong7,ROWS($1:6)),))</f>
        <v/>
      </c>
      <c r="F21" s="610" t="str">
        <f ca="1">IF(ROWS($1:6)&gt;COUNT(Dong7),"",OFFSET(TH!K$1,SMALL(Dong7,ROWS($1:6)),))</f>
        <v/>
      </c>
      <c r="G21" s="610">
        <f t="shared" ca="1" si="0"/>
        <v>0</v>
      </c>
      <c r="H21" s="610">
        <f t="shared" ca="1" si="0"/>
        <v>0</v>
      </c>
      <c r="I21" s="610">
        <f t="shared" ca="1" si="0"/>
        <v>0</v>
      </c>
      <c r="J21" s="610">
        <f t="shared" ca="1" si="0"/>
        <v>0</v>
      </c>
      <c r="K21" s="610" t="str">
        <f t="shared" ca="1" si="1"/>
        <v/>
      </c>
      <c r="L21" s="610" t="str">
        <f t="shared" ca="1" si="1"/>
        <v/>
      </c>
    </row>
    <row r="22" spans="1:12" ht="21.75" customHeight="1">
      <c r="A22" s="608" t="str">
        <f ca="1">IF(ROWS($1:7)&gt;COUNT(Dong7),"",OFFSET(TH!C$1,SMALL(Dong7,ROWS($1:7)),))</f>
        <v/>
      </c>
      <c r="B22" s="608" t="str">
        <f ca="1">IF(ROWS($1:7)&gt;COUNT(Dong7),"",OFFSET(TH!D$1,SMALL(Dong7,ROWS($1:7)),))</f>
        <v/>
      </c>
      <c r="C22" s="608" t="str">
        <f ca="1">IF(ROWS($1:7)&gt;COUNT(Dong7),"",OFFSET(TH!E$1,SMALL(Dong7,ROWS($1:7)),))</f>
        <v/>
      </c>
      <c r="D22" s="609" t="str">
        <f ca="1">IF(ROWS($1:7)&gt;COUNT(Dong7),"",OFFSET(TH!F$1,SMALL(Dong7,ROWS($1:7)),))</f>
        <v/>
      </c>
      <c r="E22" s="608" t="str">
        <f ca="1">IF(ROWS($1:7)&gt;COUNT(Dong7),"",OFFSET(TH!M$1,SMALL(Dong7,ROWS($1:7)),))</f>
        <v/>
      </c>
      <c r="F22" s="610" t="str">
        <f ca="1">IF(ROWS($1:7)&gt;COUNT(Dong7),"",OFFSET(TH!K$1,SMALL(Dong7,ROWS($1:7)),))</f>
        <v/>
      </c>
      <c r="G22" s="610">
        <f t="shared" ca="1" si="0"/>
        <v>0</v>
      </c>
      <c r="H22" s="610">
        <f t="shared" ca="1" si="0"/>
        <v>0</v>
      </c>
      <c r="I22" s="610">
        <f t="shared" ca="1" si="0"/>
        <v>0</v>
      </c>
      <c r="J22" s="610">
        <f t="shared" ca="1" si="0"/>
        <v>0</v>
      </c>
      <c r="K22" s="610" t="str">
        <f t="shared" ca="1" si="1"/>
        <v/>
      </c>
      <c r="L22" s="610" t="str">
        <f t="shared" ca="1" si="1"/>
        <v/>
      </c>
    </row>
    <row r="23" spans="1:12" ht="21.75" customHeight="1">
      <c r="A23" s="608" t="str">
        <f ca="1">IF(ROWS($1:8)&gt;COUNT(Dong7),"",OFFSET(TH!C$1,SMALL(Dong7,ROWS($1:8)),))</f>
        <v/>
      </c>
      <c r="B23" s="608" t="str">
        <f ca="1">IF(ROWS($1:8)&gt;COUNT(Dong7),"",OFFSET(TH!D$1,SMALL(Dong7,ROWS($1:8)),))</f>
        <v/>
      </c>
      <c r="C23" s="608" t="str">
        <f ca="1">IF(ROWS($1:8)&gt;COUNT(Dong7),"",OFFSET(TH!E$1,SMALL(Dong7,ROWS($1:8)),))</f>
        <v/>
      </c>
      <c r="D23" s="609" t="str">
        <f ca="1">IF(ROWS($1:8)&gt;COUNT(Dong7),"",OFFSET(TH!F$1,SMALL(Dong7,ROWS($1:8)),))</f>
        <v/>
      </c>
      <c r="E23" s="608" t="str">
        <f ca="1">IF(ROWS($1:8)&gt;COUNT(Dong7),"",OFFSET(TH!M$1,SMALL(Dong7,ROWS($1:8)),))</f>
        <v/>
      </c>
      <c r="F23" s="610" t="str">
        <f ca="1">IF(ROWS($1:8)&gt;COUNT(Dong7),"",OFFSET(TH!K$1,SMALL(Dong7,ROWS($1:8)),))</f>
        <v/>
      </c>
      <c r="G23" s="610">
        <f t="shared" ca="1" si="0"/>
        <v>0</v>
      </c>
      <c r="H23" s="610">
        <f t="shared" ca="1" si="0"/>
        <v>0</v>
      </c>
      <c r="I23" s="610">
        <f t="shared" ca="1" si="0"/>
        <v>0</v>
      </c>
      <c r="J23" s="610">
        <f t="shared" ca="1" si="0"/>
        <v>0</v>
      </c>
      <c r="K23" s="610" t="str">
        <f t="shared" ca="1" si="1"/>
        <v/>
      </c>
      <c r="L23" s="610" t="str">
        <f t="shared" ca="1" si="1"/>
        <v/>
      </c>
    </row>
    <row r="24" spans="1:12" ht="21.75" customHeight="1">
      <c r="A24" s="608" t="str">
        <f ca="1">IF(ROWS($1:9)&gt;COUNT(Dong7),"",OFFSET(TH!C$1,SMALL(Dong7,ROWS($1:9)),))</f>
        <v/>
      </c>
      <c r="B24" s="608" t="str">
        <f ca="1">IF(ROWS($1:9)&gt;COUNT(Dong7),"",OFFSET(TH!D$1,SMALL(Dong7,ROWS($1:9)),))</f>
        <v/>
      </c>
      <c r="C24" s="608" t="str">
        <f ca="1">IF(ROWS($1:9)&gt;COUNT(Dong7),"",OFFSET(TH!E$1,SMALL(Dong7,ROWS($1:9)),))</f>
        <v/>
      </c>
      <c r="D24" s="609" t="str">
        <f ca="1">IF(ROWS($1:9)&gt;COUNT(Dong7),"",OFFSET(TH!F$1,SMALL(Dong7,ROWS($1:9)),))</f>
        <v/>
      </c>
      <c r="E24" s="608" t="str">
        <f ca="1">IF(ROWS($1:9)&gt;COUNT(Dong7),"",OFFSET(TH!M$1,SMALL(Dong7,ROWS($1:9)),))</f>
        <v/>
      </c>
      <c r="F24" s="610" t="str">
        <f ca="1">IF(ROWS($1:9)&gt;COUNT(Dong7),"",OFFSET(TH!K$1,SMALL(Dong7,ROWS($1:9)),))</f>
        <v/>
      </c>
      <c r="G24" s="610">
        <f t="shared" ca="1" si="0"/>
        <v>0</v>
      </c>
      <c r="H24" s="610">
        <f t="shared" ca="1" si="0"/>
        <v>0</v>
      </c>
      <c r="I24" s="610">
        <f t="shared" ca="1" si="0"/>
        <v>0</v>
      </c>
      <c r="J24" s="610">
        <f t="shared" ca="1" si="0"/>
        <v>0</v>
      </c>
      <c r="K24" s="610" t="str">
        <f t="shared" ca="1" si="1"/>
        <v/>
      </c>
      <c r="L24" s="610" t="str">
        <f t="shared" ca="1" si="1"/>
        <v/>
      </c>
    </row>
    <row r="25" spans="1:12" ht="21.75" customHeight="1">
      <c r="A25" s="608" t="str">
        <f ca="1">IF(ROWS($1:10)&gt;COUNT(Dong7),"",OFFSET(TH!C$1,SMALL(Dong7,ROWS($1:10)),))</f>
        <v/>
      </c>
      <c r="B25" s="608" t="str">
        <f ca="1">IF(ROWS($1:10)&gt;COUNT(Dong7),"",OFFSET(TH!D$1,SMALL(Dong7,ROWS($1:10)),))</f>
        <v/>
      </c>
      <c r="C25" s="608" t="str">
        <f ca="1">IF(ROWS($1:10)&gt;COUNT(Dong7),"",OFFSET(TH!E$1,SMALL(Dong7,ROWS($1:10)),))</f>
        <v/>
      </c>
      <c r="D25" s="609" t="str">
        <f ca="1">IF(ROWS($1:10)&gt;COUNT(Dong7),"",OFFSET(TH!F$1,SMALL(Dong7,ROWS($1:10)),))</f>
        <v/>
      </c>
      <c r="E25" s="608" t="str">
        <f ca="1">IF(ROWS($1:10)&gt;COUNT(Dong7),"",OFFSET(TH!M$1,SMALL(Dong7,ROWS($1:10)),))</f>
        <v/>
      </c>
      <c r="F25" s="610" t="str">
        <f ca="1">IF(ROWS($1:10)&gt;COUNT(Dong7),"",OFFSET(TH!K$1,SMALL(Dong7,ROWS($1:10)),))</f>
        <v/>
      </c>
      <c r="G25" s="610">
        <f t="shared" ca="1" si="0"/>
        <v>0</v>
      </c>
      <c r="H25" s="610">
        <f t="shared" ca="1" si="0"/>
        <v>0</v>
      </c>
      <c r="I25" s="610">
        <f t="shared" ca="1" si="0"/>
        <v>0</v>
      </c>
      <c r="J25" s="610">
        <f t="shared" ca="1" si="0"/>
        <v>0</v>
      </c>
      <c r="K25" s="610" t="str">
        <f t="shared" ca="1" si="1"/>
        <v/>
      </c>
      <c r="L25" s="610" t="str">
        <f t="shared" ca="1" si="1"/>
        <v/>
      </c>
    </row>
    <row r="26" spans="1:12" ht="21.75" customHeight="1">
      <c r="A26" s="608" t="str">
        <f ca="1">IF(ROWS($1:11)&gt;COUNT(Dong7),"",OFFSET(TH!C$1,SMALL(Dong7,ROWS($1:11)),))</f>
        <v/>
      </c>
      <c r="B26" s="608" t="str">
        <f ca="1">IF(ROWS($1:11)&gt;COUNT(Dong7),"",OFFSET(TH!D$1,SMALL(Dong7,ROWS($1:11)),))</f>
        <v/>
      </c>
      <c r="C26" s="608" t="str">
        <f ca="1">IF(ROWS($1:11)&gt;COUNT(Dong7),"",OFFSET(TH!E$1,SMALL(Dong7,ROWS($1:11)),))</f>
        <v/>
      </c>
      <c r="D26" s="609" t="str">
        <f ca="1">IF(ROWS($1:11)&gt;COUNT(Dong7),"",OFFSET(TH!F$1,SMALL(Dong7,ROWS($1:11)),))</f>
        <v/>
      </c>
      <c r="E26" s="608" t="str">
        <f ca="1">IF(ROWS($1:11)&gt;COUNT(Dong7),"",OFFSET(TH!M$1,SMALL(Dong7,ROWS($1:11)),))</f>
        <v/>
      </c>
      <c r="F26" s="610" t="str">
        <f ca="1">IF(ROWS($1:11)&gt;COUNT(Dong7),"",OFFSET(TH!K$1,SMALL(Dong7,ROWS($1:11)),))</f>
        <v/>
      </c>
      <c r="G26" s="610">
        <f t="shared" ca="1" si="0"/>
        <v>0</v>
      </c>
      <c r="H26" s="610">
        <f t="shared" ca="1" si="0"/>
        <v>0</v>
      </c>
      <c r="I26" s="610">
        <f t="shared" ca="1" si="0"/>
        <v>0</v>
      </c>
      <c r="J26" s="610">
        <f t="shared" ca="1" si="0"/>
        <v>0</v>
      </c>
      <c r="K26" s="610" t="str">
        <f t="shared" ca="1" si="1"/>
        <v/>
      </c>
      <c r="L26" s="610" t="str">
        <f t="shared" ca="1" si="1"/>
        <v/>
      </c>
    </row>
    <row r="27" spans="1:12" ht="21.75" customHeight="1">
      <c r="A27" s="608" t="str">
        <f ca="1">IF(ROWS($1:12)&gt;COUNT(Dong7),"",OFFSET(TH!C$1,SMALL(Dong7,ROWS($1:12)),))</f>
        <v/>
      </c>
      <c r="B27" s="608" t="str">
        <f ca="1">IF(ROWS($1:12)&gt;COUNT(Dong7),"",OFFSET(TH!D$1,SMALL(Dong7,ROWS($1:12)),))</f>
        <v/>
      </c>
      <c r="C27" s="608" t="str">
        <f ca="1">IF(ROWS($1:12)&gt;COUNT(Dong7),"",OFFSET(TH!E$1,SMALL(Dong7,ROWS($1:12)),))</f>
        <v/>
      </c>
      <c r="D27" s="609" t="str">
        <f ca="1">IF(ROWS($1:12)&gt;COUNT(Dong7),"",OFFSET(TH!F$1,SMALL(Dong7,ROWS($1:12)),))</f>
        <v/>
      </c>
      <c r="E27" s="608" t="str">
        <f ca="1">IF(ROWS($1:12)&gt;COUNT(Dong7),"",OFFSET(TH!M$1,SMALL(Dong7,ROWS($1:12)),))</f>
        <v/>
      </c>
      <c r="F27" s="610" t="str">
        <f ca="1">IF(ROWS($1:12)&gt;COUNT(Dong7),"",OFFSET(TH!K$1,SMALL(Dong7,ROWS($1:12)),))</f>
        <v/>
      </c>
      <c r="G27" s="610">
        <f t="shared" ca="1" si="0"/>
        <v>0</v>
      </c>
      <c r="H27" s="610">
        <f t="shared" ca="1" si="0"/>
        <v>0</v>
      </c>
      <c r="I27" s="610">
        <f t="shared" ca="1" si="0"/>
        <v>0</v>
      </c>
      <c r="J27" s="610">
        <f t="shared" ca="1" si="0"/>
        <v>0</v>
      </c>
      <c r="K27" s="610" t="str">
        <f t="shared" ca="1" si="1"/>
        <v/>
      </c>
      <c r="L27" s="610" t="str">
        <f t="shared" ca="1" si="1"/>
        <v/>
      </c>
    </row>
    <row r="28" spans="1:12" ht="21.75" customHeight="1">
      <c r="A28" s="608" t="str">
        <f ca="1">IF(ROWS($1:13)&gt;COUNT(Dong7),"",OFFSET(TH!C$1,SMALL(Dong7,ROWS($1:13)),))</f>
        <v/>
      </c>
      <c r="B28" s="608" t="str">
        <f ca="1">IF(ROWS($1:13)&gt;COUNT(Dong7),"",OFFSET(TH!D$1,SMALL(Dong7,ROWS($1:13)),))</f>
        <v/>
      </c>
      <c r="C28" s="608" t="str">
        <f ca="1">IF(ROWS($1:13)&gt;COUNT(Dong7),"",OFFSET(TH!E$1,SMALL(Dong7,ROWS($1:13)),))</f>
        <v/>
      </c>
      <c r="D28" s="609" t="str">
        <f ca="1">IF(ROWS($1:13)&gt;COUNT(Dong7),"",OFFSET(TH!F$1,SMALL(Dong7,ROWS($1:13)),))</f>
        <v/>
      </c>
      <c r="E28" s="608" t="str">
        <f ca="1">IF(ROWS($1:13)&gt;COUNT(Dong7),"",OFFSET(TH!M$1,SMALL(Dong7,ROWS($1:13)),))</f>
        <v/>
      </c>
      <c r="F28" s="610" t="str">
        <f ca="1">IF(ROWS($1:13)&gt;COUNT(Dong7),"",OFFSET(TH!K$1,SMALL(Dong7,ROWS($1:13)),))</f>
        <v/>
      </c>
      <c r="G28" s="610">
        <f t="shared" ca="1" si="0"/>
        <v>0</v>
      </c>
      <c r="H28" s="610">
        <f t="shared" ca="1" si="0"/>
        <v>0</v>
      </c>
      <c r="I28" s="610">
        <f t="shared" ca="1" si="0"/>
        <v>0</v>
      </c>
      <c r="J28" s="610">
        <f t="shared" ca="1" si="0"/>
        <v>0</v>
      </c>
      <c r="K28" s="610" t="str">
        <f t="shared" ca="1" si="1"/>
        <v/>
      </c>
      <c r="L28" s="610" t="str">
        <f t="shared" ca="1" si="1"/>
        <v/>
      </c>
    </row>
    <row r="29" spans="1:12" ht="21.75" customHeight="1">
      <c r="A29" s="608" t="str">
        <f ca="1">IF(ROWS($1:14)&gt;COUNT(Dong7),"",OFFSET(TH!C$1,SMALL(Dong7,ROWS($1:14)),))</f>
        <v/>
      </c>
      <c r="B29" s="608" t="str">
        <f ca="1">IF(ROWS($1:14)&gt;COUNT(Dong7),"",OFFSET(TH!D$1,SMALL(Dong7,ROWS($1:14)),))</f>
        <v/>
      </c>
      <c r="C29" s="608" t="str">
        <f ca="1">IF(ROWS($1:14)&gt;COUNT(Dong7),"",OFFSET(TH!E$1,SMALL(Dong7,ROWS($1:14)),))</f>
        <v/>
      </c>
      <c r="D29" s="609" t="str">
        <f ca="1">IF(ROWS($1:14)&gt;COUNT(Dong7),"",OFFSET(TH!F$1,SMALL(Dong7,ROWS($1:14)),))</f>
        <v/>
      </c>
      <c r="E29" s="608" t="str">
        <f ca="1">IF(ROWS($1:14)&gt;COUNT(Dong7),"",OFFSET(TH!M$1,SMALL(Dong7,ROWS($1:14)),))</f>
        <v/>
      </c>
      <c r="F29" s="610" t="str">
        <f ca="1">IF(ROWS($1:14)&gt;COUNT(Dong7),"",OFFSET(TH!K$1,SMALL(Dong7,ROWS($1:14)),))</f>
        <v/>
      </c>
      <c r="G29" s="610">
        <f t="shared" ca="1" si="0"/>
        <v>0</v>
      </c>
      <c r="H29" s="610">
        <f t="shared" ca="1" si="0"/>
        <v>0</v>
      </c>
      <c r="I29" s="610">
        <f t="shared" ca="1" si="0"/>
        <v>0</v>
      </c>
      <c r="J29" s="610">
        <f t="shared" ca="1" si="0"/>
        <v>0</v>
      </c>
      <c r="K29" s="610" t="str">
        <f t="shared" ca="1" si="1"/>
        <v/>
      </c>
      <c r="L29" s="610" t="str">
        <f t="shared" ca="1" si="1"/>
        <v/>
      </c>
    </row>
    <row r="30" spans="1:12" ht="21.75" customHeight="1">
      <c r="A30" s="608" t="str">
        <f ca="1">IF(ROWS($1:15)&gt;COUNT(Dong7),"",OFFSET(TH!C$1,SMALL(Dong7,ROWS($1:15)),))</f>
        <v/>
      </c>
      <c r="B30" s="608" t="str">
        <f ca="1">IF(ROWS($1:15)&gt;COUNT(Dong7),"",OFFSET(TH!D$1,SMALL(Dong7,ROWS($1:15)),))</f>
        <v/>
      </c>
      <c r="C30" s="608" t="str">
        <f ca="1">IF(ROWS($1:15)&gt;COUNT(Dong7),"",OFFSET(TH!E$1,SMALL(Dong7,ROWS($1:15)),))</f>
        <v/>
      </c>
      <c r="D30" s="609" t="str">
        <f ca="1">IF(ROWS($1:15)&gt;COUNT(Dong7),"",OFFSET(TH!F$1,SMALL(Dong7,ROWS($1:15)),))</f>
        <v/>
      </c>
      <c r="E30" s="608" t="str">
        <f ca="1">IF(ROWS($1:15)&gt;COUNT(Dong7),"",OFFSET(TH!M$1,SMALL(Dong7,ROWS($1:15)),))</f>
        <v/>
      </c>
      <c r="F30" s="610" t="str">
        <f ca="1">IF(ROWS($1:15)&gt;COUNT(Dong7),"",OFFSET(TH!K$1,SMALL(Dong7,ROWS($1:15)),))</f>
        <v/>
      </c>
      <c r="G30" s="610">
        <f t="shared" ca="1" si="0"/>
        <v>0</v>
      </c>
      <c r="H30" s="610">
        <f t="shared" ca="1" si="0"/>
        <v>0</v>
      </c>
      <c r="I30" s="610">
        <f t="shared" ca="1" si="0"/>
        <v>0</v>
      </c>
      <c r="J30" s="610">
        <f t="shared" ca="1" si="0"/>
        <v>0</v>
      </c>
      <c r="K30" s="610" t="str">
        <f t="shared" ca="1" si="1"/>
        <v/>
      </c>
      <c r="L30" s="610" t="str">
        <f t="shared" ca="1" si="1"/>
        <v/>
      </c>
    </row>
    <row r="31" spans="1:12" ht="21.75" customHeight="1">
      <c r="A31" s="608"/>
      <c r="B31" s="611"/>
      <c r="C31" s="608"/>
      <c r="D31" s="612"/>
      <c r="E31" s="613"/>
      <c r="F31" s="614"/>
      <c r="G31" s="614"/>
      <c r="H31" s="614"/>
      <c r="I31" s="614"/>
      <c r="J31" s="614"/>
      <c r="K31" s="614"/>
      <c r="L31" s="614"/>
    </row>
    <row r="32" spans="1:12" ht="21.75" customHeight="1">
      <c r="A32" s="608"/>
      <c r="B32" s="611"/>
      <c r="C32" s="608"/>
      <c r="D32" s="606" t="s">
        <v>133</v>
      </c>
      <c r="E32" s="605" t="s">
        <v>19</v>
      </c>
      <c r="F32" s="607">
        <f ca="1">SUM(F15:F31)</f>
        <v>0</v>
      </c>
      <c r="G32" s="607">
        <f t="shared" ref="G32:L32" ca="1" si="2">SUM(G15:G31)</f>
        <v>0</v>
      </c>
      <c r="H32" s="607">
        <f t="shared" ca="1" si="2"/>
        <v>0</v>
      </c>
      <c r="I32" s="607">
        <f t="shared" ca="1" si="2"/>
        <v>0</v>
      </c>
      <c r="J32" s="607">
        <f t="shared" ca="1" si="2"/>
        <v>0</v>
      </c>
      <c r="K32" s="607">
        <f t="shared" ca="1" si="2"/>
        <v>0</v>
      </c>
      <c r="L32" s="607">
        <f t="shared" ca="1" si="2"/>
        <v>0</v>
      </c>
    </row>
    <row r="33" spans="1:12" ht="21.75" customHeight="1">
      <c r="A33" s="615"/>
      <c r="B33" s="613"/>
      <c r="C33" s="615"/>
      <c r="D33" s="616" t="s">
        <v>325</v>
      </c>
      <c r="E33" s="611"/>
      <c r="F33" s="617">
        <f ca="1">SUM(G33:L33)</f>
        <v>0</v>
      </c>
      <c r="G33" s="617">
        <f t="shared" ref="G33:L33" ca="1" si="3">G32</f>
        <v>0</v>
      </c>
      <c r="H33" s="617">
        <f t="shared" ca="1" si="3"/>
        <v>0</v>
      </c>
      <c r="I33" s="617">
        <f t="shared" ca="1" si="3"/>
        <v>0</v>
      </c>
      <c r="J33" s="617">
        <f t="shared" ca="1" si="3"/>
        <v>0</v>
      </c>
      <c r="K33" s="617">
        <f t="shared" ca="1" si="3"/>
        <v>0</v>
      </c>
      <c r="L33" s="617">
        <f t="shared" ca="1" si="3"/>
        <v>0</v>
      </c>
    </row>
    <row r="34" spans="1:12" ht="21.75" customHeight="1">
      <c r="A34" s="618"/>
      <c r="B34" s="618"/>
      <c r="C34" s="618"/>
      <c r="D34" s="619" t="s">
        <v>10</v>
      </c>
      <c r="E34" s="618" t="s">
        <v>19</v>
      </c>
      <c r="F34" s="620">
        <f t="shared" ref="F34:L34" ca="1" si="4">F15+F32-F33</f>
        <v>0</v>
      </c>
      <c r="G34" s="620">
        <f t="shared" ca="1" si="4"/>
        <v>0</v>
      </c>
      <c r="H34" s="620">
        <f t="shared" ca="1" si="4"/>
        <v>0</v>
      </c>
      <c r="I34" s="620">
        <f t="shared" ca="1" si="4"/>
        <v>0</v>
      </c>
      <c r="J34" s="620">
        <f t="shared" ca="1" si="4"/>
        <v>0</v>
      </c>
      <c r="K34" s="620">
        <f t="shared" ca="1" si="4"/>
        <v>0</v>
      </c>
      <c r="L34" s="620">
        <f t="shared" ca="1" si="4"/>
        <v>0</v>
      </c>
    </row>
    <row r="36" spans="1:12">
      <c r="B36" s="621"/>
      <c r="C36" s="601" t="s">
        <v>318</v>
      </c>
    </row>
    <row r="37" spans="1:12">
      <c r="C37" s="601" t="e">
        <f ca="1">"- Ngày mở sổ: "&amp;"01/"&amp;MONTH(A16)&amp;"/"&amp;YEAR(A16)</f>
        <v>#VALUE!</v>
      </c>
    </row>
    <row r="38" spans="1:12">
      <c r="E38" s="600"/>
      <c r="F38" s="600"/>
      <c r="G38" s="600"/>
      <c r="H38" s="600"/>
      <c r="I38" s="600"/>
      <c r="J38" s="893" t="e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#VALUE!</v>
      </c>
      <c r="K38" s="893"/>
      <c r="L38" s="893"/>
    </row>
    <row r="39" spans="1:12">
      <c r="B39" s="600"/>
      <c r="C39" s="597" t="s">
        <v>11</v>
      </c>
      <c r="D39" s="600"/>
      <c r="E39" s="600"/>
      <c r="F39" s="600"/>
      <c r="G39" s="600"/>
      <c r="H39" s="600"/>
      <c r="I39" s="600"/>
      <c r="J39" s="893" t="s">
        <v>12</v>
      </c>
      <c r="K39" s="893"/>
      <c r="L39" s="893"/>
    </row>
    <row r="40" spans="1:12">
      <c r="B40" s="600"/>
      <c r="C40" s="597" t="s">
        <v>13</v>
      </c>
      <c r="D40" s="600"/>
      <c r="E40" s="600"/>
      <c r="F40" s="600"/>
      <c r="G40" s="600"/>
      <c r="H40" s="600"/>
      <c r="I40" s="600"/>
      <c r="J40" s="907" t="s">
        <v>13</v>
      </c>
      <c r="K40" s="907"/>
      <c r="L40" s="907"/>
    </row>
  </sheetData>
  <mergeCells count="17">
    <mergeCell ref="G12:L12"/>
    <mergeCell ref="H3:K4"/>
    <mergeCell ref="H2:K2"/>
    <mergeCell ref="J38:L38"/>
    <mergeCell ref="J39:L39"/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35"/>
  <sheetViews>
    <sheetView topLeftCell="A10" zoomScale="90" zoomScaleNormal="90" workbookViewId="0">
      <pane ySplit="6" topLeftCell="A16" activePane="bottomLeft" state="frozen"/>
      <selection activeCell="A10" sqref="A10"/>
      <selection pane="bottomLeft" activeCell="D21" sqref="D21"/>
    </sheetView>
  </sheetViews>
  <sheetFormatPr defaultRowHeight="15"/>
  <cols>
    <col min="1" max="2" width="8.85546875" style="677" customWidth="1"/>
    <col min="3" max="3" width="8.5703125" style="677" customWidth="1"/>
    <col min="4" max="4" width="51.42578125" style="677" customWidth="1"/>
    <col min="5" max="5" width="8" style="677" customWidth="1"/>
    <col min="6" max="6" width="12.28515625" style="677" bestFit="1" customWidth="1"/>
    <col min="7" max="7" width="10.140625" style="677" customWidth="1"/>
    <col min="8" max="8" width="10.7109375" style="677" customWidth="1"/>
    <col min="9" max="9" width="11.42578125" style="677" customWidth="1"/>
    <col min="10" max="10" width="11.5703125" style="677" customWidth="1"/>
    <col min="11" max="11" width="11.42578125" style="677" customWidth="1"/>
    <col min="12" max="12" width="9.42578125" style="677" customWidth="1"/>
    <col min="13" max="13" width="6.7109375" style="677" customWidth="1"/>
    <col min="14" max="16384" width="9.140625" style="677"/>
  </cols>
  <sheetData>
    <row r="2" spans="1:15">
      <c r="A2" s="596" t="str">
        <f>'632'!A2</f>
        <v>Đơn vị: CÔNG TY TNHH MỘT THÀNH VIÊN KHỞI NGUYÊN AN</v>
      </c>
      <c r="F2" s="676"/>
      <c r="G2" s="676"/>
      <c r="H2" s="905" t="s">
        <v>305</v>
      </c>
      <c r="I2" s="905"/>
      <c r="J2" s="905"/>
      <c r="K2" s="905"/>
      <c r="L2" s="622"/>
    </row>
    <row r="3" spans="1:15" ht="15" customHeight="1">
      <c r="A3" s="626" t="str">
        <f>'632'!A3</f>
        <v>Địa chỉ: Thửa đất số 144, tờ bản đồ số 12TĐH.1, tổ 1, khu phố Đông Tác, Phường Tân Đông Hiệp, Thị Xã Dĩ An, Tỉnh Bình Dương, Việt Nam</v>
      </c>
      <c r="H3" s="908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I3" s="908"/>
      <c r="J3" s="908"/>
      <c r="K3" s="908"/>
      <c r="L3" s="600"/>
    </row>
    <row r="4" spans="1:15">
      <c r="H4" s="908"/>
      <c r="I4" s="908"/>
      <c r="J4" s="908"/>
      <c r="K4" s="908"/>
      <c r="L4" s="600"/>
    </row>
    <row r="5" spans="1:15" ht="19.5" customHeight="1">
      <c r="A5" s="906" t="s">
        <v>306</v>
      </c>
      <c r="B5" s="906"/>
      <c r="C5" s="906"/>
      <c r="D5" s="906"/>
      <c r="E5" s="906"/>
      <c r="F5" s="906"/>
      <c r="G5" s="906"/>
      <c r="H5" s="906"/>
      <c r="I5" s="906"/>
      <c r="J5" s="906"/>
      <c r="K5" s="906"/>
      <c r="L5" s="906"/>
      <c r="M5" s="599" t="s">
        <v>253</v>
      </c>
      <c r="N5" s="532">
        <f>IF(N13="Quý I",1,IF(N13="Quý II",4,IF(N13="Quý III",7,IF(N13="Quý IV",10,""))))</f>
        <v>7</v>
      </c>
      <c r="O5" s="532">
        <f>IF(N13="Quý I",3,IF(N13="Quý II",6,IF(N13="Quý III",9,IF(N13="Quý IV",12,""))))</f>
        <v>9</v>
      </c>
    </row>
    <row r="6" spans="1:15">
      <c r="A6" s="907" t="s">
        <v>307</v>
      </c>
      <c r="B6" s="907"/>
      <c r="C6" s="907"/>
      <c r="D6" s="907"/>
      <c r="E6" s="907"/>
      <c r="F6" s="907"/>
      <c r="G6" s="907"/>
      <c r="H6" s="907"/>
      <c r="I6" s="907"/>
      <c r="J6" s="907"/>
      <c r="K6" s="907"/>
      <c r="L6" s="907"/>
    </row>
    <row r="7" spans="1:15">
      <c r="B7" s="600"/>
      <c r="C7" s="600"/>
      <c r="D7" s="600"/>
      <c r="E7" s="601" t="s">
        <v>333</v>
      </c>
      <c r="G7" s="600"/>
      <c r="H7" s="600"/>
      <c r="I7" s="600"/>
      <c r="J7" s="600"/>
      <c r="K7" s="600"/>
      <c r="L7" s="600"/>
      <c r="M7" s="627"/>
    </row>
    <row r="8" spans="1:15">
      <c r="B8" s="600"/>
      <c r="C8" s="600"/>
      <c r="D8" s="600"/>
      <c r="E8" s="601" t="s">
        <v>309</v>
      </c>
      <c r="G8" s="600"/>
      <c r="H8" s="600"/>
      <c r="I8" s="600"/>
      <c r="J8" s="600"/>
      <c r="K8" s="600"/>
      <c r="L8" s="600"/>
    </row>
    <row r="9" spans="1:15">
      <c r="B9" s="602"/>
      <c r="C9" s="602"/>
      <c r="D9" s="602"/>
      <c r="E9" s="601" t="s">
        <v>310</v>
      </c>
      <c r="G9" s="602"/>
      <c r="H9" s="602"/>
      <c r="I9" s="602"/>
      <c r="J9" s="602"/>
      <c r="K9" s="602"/>
      <c r="L9" s="602"/>
    </row>
    <row r="10" spans="1:15" ht="9" customHeight="1">
      <c r="C10" s="904"/>
      <c r="D10" s="904"/>
      <c r="E10" s="904"/>
      <c r="F10" s="904"/>
      <c r="G10" s="904"/>
      <c r="H10" s="904"/>
      <c r="I10" s="904"/>
      <c r="J10" s="904"/>
      <c r="K10" s="904"/>
      <c r="L10" s="904"/>
    </row>
    <row r="11" spans="1:15" ht="15.75" customHeight="1">
      <c r="A11" s="901" t="s">
        <v>20</v>
      </c>
      <c r="B11" s="902" t="s">
        <v>1</v>
      </c>
      <c r="C11" s="902"/>
      <c r="D11" s="901" t="s">
        <v>0</v>
      </c>
      <c r="E11" s="901" t="s">
        <v>204</v>
      </c>
      <c r="F11" s="902" t="s">
        <v>332</v>
      </c>
      <c r="G11" s="902"/>
      <c r="H11" s="902"/>
      <c r="I11" s="902"/>
      <c r="J11" s="902"/>
      <c r="K11" s="902"/>
      <c r="L11" s="902"/>
    </row>
    <row r="12" spans="1:15" ht="15.75" customHeight="1" thickBot="1">
      <c r="A12" s="901"/>
      <c r="B12" s="903" t="s">
        <v>15</v>
      </c>
      <c r="C12" s="903" t="s">
        <v>32</v>
      </c>
      <c r="D12" s="901"/>
      <c r="E12" s="901"/>
      <c r="F12" s="903" t="s">
        <v>312</v>
      </c>
      <c r="G12" s="903" t="s">
        <v>313</v>
      </c>
      <c r="H12" s="903"/>
      <c r="I12" s="903"/>
      <c r="J12" s="903"/>
      <c r="K12" s="903"/>
      <c r="L12" s="903"/>
    </row>
    <row r="13" spans="1:15" ht="29.25" customHeight="1" thickBot="1">
      <c r="A13" s="901"/>
      <c r="B13" s="903"/>
      <c r="C13" s="903"/>
      <c r="D13" s="901"/>
      <c r="E13" s="901"/>
      <c r="F13" s="903"/>
      <c r="G13" s="623" t="s">
        <v>47</v>
      </c>
      <c r="H13" s="623" t="s">
        <v>24</v>
      </c>
      <c r="I13" s="623"/>
      <c r="J13" s="623"/>
      <c r="K13" s="623"/>
      <c r="L13" s="623"/>
      <c r="N13" s="625" t="s">
        <v>335</v>
      </c>
    </row>
    <row r="14" spans="1:15">
      <c r="A14" s="678" t="s">
        <v>2</v>
      </c>
      <c r="B14" s="678" t="s">
        <v>3</v>
      </c>
      <c r="C14" s="678" t="s">
        <v>4</v>
      </c>
      <c r="D14" s="678" t="s">
        <v>5</v>
      </c>
      <c r="E14" s="678" t="s">
        <v>6</v>
      </c>
      <c r="F14" s="678">
        <v>1</v>
      </c>
      <c r="G14" s="678">
        <v>2</v>
      </c>
      <c r="H14" s="678">
        <v>3</v>
      </c>
      <c r="I14" s="678">
        <v>4</v>
      </c>
      <c r="J14" s="678">
        <v>5</v>
      </c>
      <c r="K14" s="678">
        <v>6</v>
      </c>
      <c r="L14" s="678">
        <v>7</v>
      </c>
    </row>
    <row r="15" spans="1:15" ht="21.75" customHeight="1">
      <c r="A15" s="605"/>
      <c r="B15" s="605"/>
      <c r="C15" s="605"/>
      <c r="D15" s="606" t="s">
        <v>7</v>
      </c>
      <c r="E15" s="605"/>
      <c r="F15" s="607"/>
      <c r="G15" s="607"/>
      <c r="H15" s="607"/>
      <c r="I15" s="607"/>
      <c r="J15" s="607"/>
      <c r="K15" s="607"/>
      <c r="L15" s="607"/>
    </row>
    <row r="16" spans="1:15" ht="21.75" customHeight="1">
      <c r="A16" s="608" t="str">
        <f ca="1">IF(ROWS($1:1)&gt;COUNT(Dong13),"",OFFSET(TH!C$1,SMALL(Dong13,ROWS($1:1)),))</f>
        <v/>
      </c>
      <c r="B16" s="608" t="str">
        <f ca="1">IF(ROWS($1:1)&gt;COUNT(Dong13),"",OFFSET(TH!D$1,SMALL(Dong13,ROWS($1:1)),))</f>
        <v/>
      </c>
      <c r="C16" s="608" t="str">
        <f ca="1">IF(ROWS($1:1)&gt;COUNT(Dong13),"",OFFSET(TH!E$1,SMALL(Dong13,ROWS($1:1)),))</f>
        <v/>
      </c>
      <c r="D16" s="609" t="str">
        <f ca="1">IF(ROWS($1:1)&gt;COUNT(Dong13),"",OFFSET(TH!F$1,SMALL(Dong13,ROWS($1:1)),))</f>
        <v/>
      </c>
      <c r="E16" s="608" t="str">
        <f ca="1">IF(ROWS($1:1)&gt;COUNT(Dong13),"",OFFSET(TH!M$1,SMALL(Dong13,ROWS($1:1)),))</f>
        <v/>
      </c>
      <c r="F16" s="680" t="str">
        <f ca="1">IF(ROWS($1:1)&gt;COUNT(Dong13),"",OFFSET(TH!K$1,SMALL(Dong13,ROWS($1:1)),))</f>
        <v/>
      </c>
      <c r="G16" s="610">
        <f t="shared" ref="G16:J25" ca="1" si="0">IF($E16=G$13,$F16,0)</f>
        <v>0</v>
      </c>
      <c r="H16" s="610">
        <f t="shared" ca="1" si="0"/>
        <v>0</v>
      </c>
      <c r="I16" s="610" t="str">
        <f t="shared" ca="1" si="0"/>
        <v/>
      </c>
      <c r="J16" s="610" t="str">
        <f t="shared" ca="1" si="0"/>
        <v/>
      </c>
      <c r="K16" s="610" t="str">
        <f ca="1">IF(LEFT($E16,3)=K$13,$F16,0)</f>
        <v/>
      </c>
      <c r="L16" s="610" t="str">
        <f ca="1">IF(LEFT($E16,3)=L$13,$F16,0)</f>
        <v/>
      </c>
    </row>
    <row r="17" spans="1:12" ht="21.75" customHeight="1">
      <c r="A17" s="608" t="str">
        <f ca="1">IF(ROWS($1:2)&gt;COUNT(Dong13),"",OFFSET(TH!C$1,SMALL(Dong13,ROWS($1:2)),))</f>
        <v/>
      </c>
      <c r="B17" s="608" t="str">
        <f ca="1">IF(ROWS($1:2)&gt;COUNT(Dong13),"",OFFSET(TH!D$1,SMALL(Dong13,ROWS($1:2)),))</f>
        <v/>
      </c>
      <c r="C17" s="608" t="str">
        <f ca="1">IF(ROWS($1:2)&gt;COUNT(Dong13),"",OFFSET(TH!E$1,SMALL(Dong13,ROWS($1:2)),))</f>
        <v/>
      </c>
      <c r="D17" s="609" t="str">
        <f ca="1">IF(ROWS($1:2)&gt;COUNT(Dong13),"",OFFSET(TH!F$1,SMALL(Dong13,ROWS($1:2)),))</f>
        <v/>
      </c>
      <c r="E17" s="608" t="str">
        <f ca="1">IF(ROWS($1:2)&gt;COUNT(Dong13),"",OFFSET(TH!M$1,SMALL(Dong13,ROWS($1:2)),))</f>
        <v/>
      </c>
      <c r="F17" s="680" t="str">
        <f ca="1">IF(ROWS($1:2)&gt;COUNT(Dong13),"",OFFSET(TH!K$1,SMALL(Dong13,ROWS($1:2)),))</f>
        <v/>
      </c>
      <c r="G17" s="610">
        <f t="shared" ca="1" si="0"/>
        <v>0</v>
      </c>
      <c r="H17" s="610">
        <f t="shared" ca="1" si="0"/>
        <v>0</v>
      </c>
      <c r="I17" s="610" t="str">
        <f t="shared" ca="1" si="0"/>
        <v/>
      </c>
      <c r="J17" s="610" t="str">
        <f t="shared" ca="1" si="0"/>
        <v/>
      </c>
      <c r="K17" s="610" t="str">
        <f t="shared" ref="K17:L25" ca="1" si="1">IF(LEFT($E17,3)=K$13,$F17,0)</f>
        <v/>
      </c>
      <c r="L17" s="610" t="str">
        <f t="shared" ca="1" si="1"/>
        <v/>
      </c>
    </row>
    <row r="18" spans="1:12" ht="21.75" customHeight="1">
      <c r="A18" s="608" t="str">
        <f ca="1">IF(ROWS($1:3)&gt;COUNT(Dong13),"",OFFSET(TH!C$1,SMALL(Dong13,ROWS($1:3)),))</f>
        <v/>
      </c>
      <c r="B18" s="608" t="str">
        <f ca="1">IF(ROWS($1:3)&gt;COUNT(Dong13),"",OFFSET(TH!D$1,SMALL(Dong13,ROWS($1:3)),))</f>
        <v/>
      </c>
      <c r="C18" s="608" t="str">
        <f ca="1">IF(ROWS($1:3)&gt;COUNT(Dong13),"",OFFSET(TH!E$1,SMALL(Dong13,ROWS($1:3)),))</f>
        <v/>
      </c>
      <c r="D18" s="609" t="str">
        <f ca="1">IF(ROWS($1:3)&gt;COUNT(Dong13),"",OFFSET(TH!F$1,SMALL(Dong13,ROWS($1:3)),))</f>
        <v/>
      </c>
      <c r="E18" s="608" t="str">
        <f ca="1">IF(ROWS($1:3)&gt;COUNT(Dong13),"",OFFSET(TH!M$1,SMALL(Dong13,ROWS($1:3)),))</f>
        <v/>
      </c>
      <c r="F18" s="680" t="str">
        <f ca="1">IF(ROWS($1:3)&gt;COUNT(Dong13),"",OFFSET(TH!K$1,SMALL(Dong13,ROWS($1:3)),))</f>
        <v/>
      </c>
      <c r="G18" s="610">
        <f t="shared" ca="1" si="0"/>
        <v>0</v>
      </c>
      <c r="H18" s="610">
        <f t="shared" ca="1" si="0"/>
        <v>0</v>
      </c>
      <c r="I18" s="610" t="str">
        <f t="shared" ca="1" si="0"/>
        <v/>
      </c>
      <c r="J18" s="610" t="str">
        <f t="shared" ca="1" si="0"/>
        <v/>
      </c>
      <c r="K18" s="610" t="str">
        <f t="shared" ca="1" si="1"/>
        <v/>
      </c>
      <c r="L18" s="610" t="str">
        <f t="shared" ca="1" si="1"/>
        <v/>
      </c>
    </row>
    <row r="19" spans="1:12" ht="21.75" customHeight="1">
      <c r="A19" s="608" t="str">
        <f ca="1">IF(ROWS($1:4)&gt;COUNT(Dong13),"",OFFSET(TH!C$1,SMALL(Dong13,ROWS($1:4)),))</f>
        <v/>
      </c>
      <c r="B19" s="608" t="str">
        <f ca="1">IF(ROWS($1:4)&gt;COUNT(Dong13),"",OFFSET(TH!D$1,SMALL(Dong13,ROWS($1:4)),))</f>
        <v/>
      </c>
      <c r="C19" s="608" t="str">
        <f ca="1">IF(ROWS($1:4)&gt;COUNT(Dong13),"",OFFSET(TH!E$1,SMALL(Dong13,ROWS($1:4)),))</f>
        <v/>
      </c>
      <c r="D19" s="609" t="str">
        <f ca="1">IF(ROWS($1:4)&gt;COUNT(Dong13),"",OFFSET(TH!F$1,SMALL(Dong13,ROWS($1:4)),))</f>
        <v/>
      </c>
      <c r="E19" s="608" t="str">
        <f ca="1">IF(ROWS($1:4)&gt;COUNT(Dong13),"",OFFSET(TH!M$1,SMALL(Dong13,ROWS($1:4)),))</f>
        <v/>
      </c>
      <c r="F19" s="680" t="str">
        <f ca="1">IF(ROWS($1:4)&gt;COUNT(Dong13),"",OFFSET(TH!K$1,SMALL(Dong13,ROWS($1:4)),))</f>
        <v/>
      </c>
      <c r="G19" s="610">
        <f t="shared" ca="1" si="0"/>
        <v>0</v>
      </c>
      <c r="H19" s="610">
        <f t="shared" ca="1" si="0"/>
        <v>0</v>
      </c>
      <c r="I19" s="610" t="str">
        <f t="shared" ca="1" si="0"/>
        <v/>
      </c>
      <c r="J19" s="610" t="str">
        <f t="shared" ca="1" si="0"/>
        <v/>
      </c>
      <c r="K19" s="610" t="str">
        <f t="shared" ca="1" si="1"/>
        <v/>
      </c>
      <c r="L19" s="610" t="str">
        <f t="shared" ca="1" si="1"/>
        <v/>
      </c>
    </row>
    <row r="20" spans="1:12" ht="21.75" customHeight="1">
      <c r="A20" s="608" t="str">
        <f ca="1">IF(ROWS($1:5)&gt;COUNT(Dong13),"",OFFSET(TH!C$1,SMALL(Dong13,ROWS($1:5)),))</f>
        <v/>
      </c>
      <c r="B20" s="608" t="str">
        <f ca="1">IF(ROWS($1:5)&gt;COUNT(Dong13),"",OFFSET(TH!D$1,SMALL(Dong13,ROWS($1:5)),))</f>
        <v/>
      </c>
      <c r="C20" s="608" t="str">
        <f ca="1">IF(ROWS($1:5)&gt;COUNT(Dong13),"",OFFSET(TH!E$1,SMALL(Dong13,ROWS($1:5)),))</f>
        <v/>
      </c>
      <c r="D20" s="609" t="str">
        <f ca="1">IF(ROWS($1:5)&gt;COUNT(Dong13),"",OFFSET(TH!F$1,SMALL(Dong13,ROWS($1:5)),))</f>
        <v/>
      </c>
      <c r="E20" s="608" t="str">
        <f ca="1">IF(ROWS($1:5)&gt;COUNT(Dong13),"",OFFSET(TH!M$1,SMALL(Dong13,ROWS($1:5)),))</f>
        <v/>
      </c>
      <c r="F20" s="680" t="str">
        <f ca="1">IF(ROWS($1:5)&gt;COUNT(Dong13),"",OFFSET(TH!K$1,SMALL(Dong13,ROWS($1:5)),))</f>
        <v/>
      </c>
      <c r="G20" s="610">
        <f t="shared" ca="1" si="0"/>
        <v>0</v>
      </c>
      <c r="H20" s="610">
        <f t="shared" ca="1" si="0"/>
        <v>0</v>
      </c>
      <c r="I20" s="610" t="str">
        <f t="shared" ca="1" si="0"/>
        <v/>
      </c>
      <c r="J20" s="610" t="str">
        <f t="shared" ca="1" si="0"/>
        <v/>
      </c>
      <c r="K20" s="610" t="str">
        <f t="shared" ca="1" si="1"/>
        <v/>
      </c>
      <c r="L20" s="610" t="str">
        <f t="shared" ca="1" si="1"/>
        <v/>
      </c>
    </row>
    <row r="21" spans="1:12" ht="21.75" customHeight="1">
      <c r="A21" s="608" t="str">
        <f ca="1">IF(ROWS($1:6)&gt;COUNT(Dong13),"",OFFSET(TH!C$1,SMALL(Dong13,ROWS($1:6)),))</f>
        <v/>
      </c>
      <c r="B21" s="608" t="str">
        <f ca="1">IF(ROWS($1:6)&gt;COUNT(Dong13),"",OFFSET(TH!D$1,SMALL(Dong13,ROWS($1:6)),))</f>
        <v/>
      </c>
      <c r="C21" s="608" t="str">
        <f ca="1">IF(ROWS($1:6)&gt;COUNT(Dong13),"",OFFSET(TH!E$1,SMALL(Dong13,ROWS($1:6)),))</f>
        <v/>
      </c>
      <c r="D21" s="609" t="str">
        <f ca="1">IF(ROWS($1:6)&gt;COUNT(Dong13),"",OFFSET(TH!F$1,SMALL(Dong13,ROWS($1:6)),))</f>
        <v/>
      </c>
      <c r="E21" s="608" t="str">
        <f ca="1">IF(ROWS($1:6)&gt;COUNT(Dong13),"",OFFSET(TH!M$1,SMALL(Dong13,ROWS($1:6)),))</f>
        <v/>
      </c>
      <c r="F21" s="680" t="str">
        <f ca="1">IF(ROWS($1:6)&gt;COUNT(Dong13),"",OFFSET(TH!K$1,SMALL(Dong13,ROWS($1:6)),))</f>
        <v/>
      </c>
      <c r="G21" s="610">
        <f t="shared" ca="1" si="0"/>
        <v>0</v>
      </c>
      <c r="H21" s="610">
        <f t="shared" ca="1" si="0"/>
        <v>0</v>
      </c>
      <c r="I21" s="610" t="str">
        <f t="shared" ca="1" si="0"/>
        <v/>
      </c>
      <c r="J21" s="610" t="str">
        <f t="shared" ca="1" si="0"/>
        <v/>
      </c>
      <c r="K21" s="610" t="str">
        <f t="shared" ca="1" si="1"/>
        <v/>
      </c>
      <c r="L21" s="610" t="str">
        <f t="shared" ca="1" si="1"/>
        <v/>
      </c>
    </row>
    <row r="22" spans="1:12" ht="21.75" customHeight="1">
      <c r="A22" s="608" t="str">
        <f ca="1">IF(ROWS($1:7)&gt;COUNT(Dong13),"",OFFSET(TH!C$1,SMALL(Dong13,ROWS($1:7)),))</f>
        <v/>
      </c>
      <c r="B22" s="608" t="str">
        <f ca="1">IF(ROWS($1:7)&gt;COUNT(Dong13),"",OFFSET(TH!D$1,SMALL(Dong13,ROWS($1:7)),))</f>
        <v/>
      </c>
      <c r="C22" s="608" t="str">
        <f ca="1">IF(ROWS($1:7)&gt;COUNT(Dong13),"",OFFSET(TH!E$1,SMALL(Dong13,ROWS($1:7)),))</f>
        <v/>
      </c>
      <c r="D22" s="609" t="str">
        <f ca="1">IF(ROWS($1:7)&gt;COUNT(Dong13),"",OFFSET(TH!F$1,SMALL(Dong13,ROWS($1:7)),))</f>
        <v/>
      </c>
      <c r="E22" s="608" t="str">
        <f ca="1">IF(ROWS($1:7)&gt;COUNT(Dong13),"",OFFSET(TH!M$1,SMALL(Dong13,ROWS($1:7)),))</f>
        <v/>
      </c>
      <c r="F22" s="680" t="str">
        <f ca="1">IF(ROWS($1:7)&gt;COUNT(Dong13),"",OFFSET(TH!K$1,SMALL(Dong13,ROWS($1:7)),))</f>
        <v/>
      </c>
      <c r="G22" s="610">
        <f t="shared" ca="1" si="0"/>
        <v>0</v>
      </c>
      <c r="H22" s="610">
        <f t="shared" ca="1" si="0"/>
        <v>0</v>
      </c>
      <c r="I22" s="610" t="str">
        <f t="shared" ca="1" si="0"/>
        <v/>
      </c>
      <c r="J22" s="610" t="str">
        <f t="shared" ca="1" si="0"/>
        <v/>
      </c>
      <c r="K22" s="610" t="str">
        <f t="shared" ca="1" si="1"/>
        <v/>
      </c>
      <c r="L22" s="610" t="str">
        <f t="shared" ca="1" si="1"/>
        <v/>
      </c>
    </row>
    <row r="23" spans="1:12" ht="21.75" customHeight="1">
      <c r="A23" s="608" t="str">
        <f ca="1">IF(ROWS($1:8)&gt;COUNT(Dong13),"",OFFSET(TH!C$1,SMALL(Dong13,ROWS($1:8)),))</f>
        <v/>
      </c>
      <c r="B23" s="608" t="str">
        <f ca="1">IF(ROWS($1:8)&gt;COUNT(Dong13),"",OFFSET(TH!D$1,SMALL(Dong13,ROWS($1:8)),))</f>
        <v/>
      </c>
      <c r="C23" s="608" t="str">
        <f ca="1">IF(ROWS($1:8)&gt;COUNT(Dong13),"",OFFSET(TH!E$1,SMALL(Dong13,ROWS($1:8)),))</f>
        <v/>
      </c>
      <c r="D23" s="609" t="str">
        <f ca="1">IF(ROWS($1:8)&gt;COUNT(Dong13),"",OFFSET(TH!F$1,SMALL(Dong13,ROWS($1:8)),))</f>
        <v/>
      </c>
      <c r="E23" s="608" t="str">
        <f ca="1">IF(ROWS($1:8)&gt;COUNT(Dong13),"",OFFSET(TH!M$1,SMALL(Dong13,ROWS($1:8)),))</f>
        <v/>
      </c>
      <c r="F23" s="680" t="str">
        <f ca="1">IF(ROWS($1:8)&gt;COUNT(Dong13),"",OFFSET(TH!K$1,SMALL(Dong13,ROWS($1:8)),))</f>
        <v/>
      </c>
      <c r="G23" s="610">
        <f t="shared" ca="1" si="0"/>
        <v>0</v>
      </c>
      <c r="H23" s="610">
        <f t="shared" ca="1" si="0"/>
        <v>0</v>
      </c>
      <c r="I23" s="610" t="str">
        <f t="shared" ca="1" si="0"/>
        <v/>
      </c>
      <c r="J23" s="610" t="str">
        <f t="shared" ca="1" si="0"/>
        <v/>
      </c>
      <c r="K23" s="610" t="str">
        <f t="shared" ca="1" si="1"/>
        <v/>
      </c>
      <c r="L23" s="610" t="str">
        <f t="shared" ca="1" si="1"/>
        <v/>
      </c>
    </row>
    <row r="24" spans="1:12" ht="21.75" customHeight="1">
      <c r="A24" s="608" t="str">
        <f ca="1">IF(ROWS($1:9)&gt;COUNT(Dong13),"",OFFSET(TH!C$1,SMALL(Dong13,ROWS($1:9)),))</f>
        <v/>
      </c>
      <c r="B24" s="608" t="str">
        <f ca="1">IF(ROWS($1:9)&gt;COUNT(Dong13),"",OFFSET(TH!D$1,SMALL(Dong13,ROWS($1:9)),))</f>
        <v/>
      </c>
      <c r="C24" s="608" t="str">
        <f ca="1">IF(ROWS($1:9)&gt;COUNT(Dong13),"",OFFSET(TH!E$1,SMALL(Dong13,ROWS($1:9)),))</f>
        <v/>
      </c>
      <c r="D24" s="609" t="str">
        <f ca="1">IF(ROWS($1:9)&gt;COUNT(Dong13),"",OFFSET(TH!F$1,SMALL(Dong13,ROWS($1:9)),))</f>
        <v/>
      </c>
      <c r="E24" s="608" t="str">
        <f ca="1">IF(ROWS($1:9)&gt;COUNT(Dong13),"",OFFSET(TH!M$1,SMALL(Dong13,ROWS($1:9)),))</f>
        <v/>
      </c>
      <c r="F24" s="680" t="str">
        <f ca="1">IF(ROWS($1:9)&gt;COUNT(Dong13),"",OFFSET(TH!K$1,SMALL(Dong13,ROWS($1:9)),))</f>
        <v/>
      </c>
      <c r="G24" s="610">
        <f t="shared" ca="1" si="0"/>
        <v>0</v>
      </c>
      <c r="H24" s="610">
        <f t="shared" ca="1" si="0"/>
        <v>0</v>
      </c>
      <c r="I24" s="610" t="str">
        <f t="shared" ca="1" si="0"/>
        <v/>
      </c>
      <c r="J24" s="610" t="str">
        <f t="shared" ca="1" si="0"/>
        <v/>
      </c>
      <c r="K24" s="610" t="str">
        <f t="shared" ca="1" si="1"/>
        <v/>
      </c>
      <c r="L24" s="610" t="str">
        <f t="shared" ca="1" si="1"/>
        <v/>
      </c>
    </row>
    <row r="25" spans="1:12" ht="21.75" customHeight="1">
      <c r="A25" s="608" t="str">
        <f ca="1">IF(ROWS($1:10)&gt;COUNT(Dong13),"",OFFSET(TH!C$1,SMALL(Dong13,ROWS($1:10)),))</f>
        <v/>
      </c>
      <c r="B25" s="608" t="str">
        <f ca="1">IF(ROWS($1:10)&gt;COUNT(Dong13),"",OFFSET(TH!D$1,SMALL(Dong13,ROWS($1:10)),))</f>
        <v/>
      </c>
      <c r="C25" s="608" t="str">
        <f ca="1">IF(ROWS($1:10)&gt;COUNT(Dong13),"",OFFSET(TH!E$1,SMALL(Dong13,ROWS($1:10)),))</f>
        <v/>
      </c>
      <c r="D25" s="609" t="str">
        <f ca="1">IF(ROWS($1:10)&gt;COUNT(Dong13),"",OFFSET(TH!F$1,SMALL(Dong13,ROWS($1:10)),))</f>
        <v/>
      </c>
      <c r="E25" s="608" t="str">
        <f ca="1">IF(ROWS($1:10)&gt;COUNT(Dong13),"",OFFSET(TH!M$1,SMALL(Dong13,ROWS($1:10)),))</f>
        <v/>
      </c>
      <c r="F25" s="680" t="str">
        <f ca="1">IF(ROWS($1:10)&gt;COUNT(Dong13),"",OFFSET(TH!K$1,SMALL(Dong13,ROWS($1:10)),))</f>
        <v/>
      </c>
      <c r="G25" s="610">
        <f t="shared" ca="1" si="0"/>
        <v>0</v>
      </c>
      <c r="H25" s="610">
        <f t="shared" ca="1" si="0"/>
        <v>0</v>
      </c>
      <c r="I25" s="610" t="str">
        <f t="shared" ca="1" si="0"/>
        <v/>
      </c>
      <c r="J25" s="610" t="str">
        <f t="shared" ca="1" si="0"/>
        <v/>
      </c>
      <c r="K25" s="610" t="str">
        <f t="shared" ca="1" si="1"/>
        <v/>
      </c>
      <c r="L25" s="610" t="str">
        <f t="shared" ca="1" si="1"/>
        <v/>
      </c>
    </row>
    <row r="26" spans="1:12" ht="21.75" customHeight="1">
      <c r="A26" s="608"/>
      <c r="B26" s="611"/>
      <c r="C26" s="608"/>
      <c r="D26" s="612"/>
      <c r="E26" s="613"/>
      <c r="F26" s="614"/>
      <c r="G26" s="614"/>
      <c r="H26" s="614"/>
      <c r="I26" s="614"/>
      <c r="J26" s="614"/>
      <c r="K26" s="614"/>
      <c r="L26" s="614"/>
    </row>
    <row r="27" spans="1:12" ht="21.75" customHeight="1">
      <c r="A27" s="608"/>
      <c r="B27" s="611"/>
      <c r="C27" s="608"/>
      <c r="D27" s="606" t="s">
        <v>133</v>
      </c>
      <c r="E27" s="605" t="s">
        <v>19</v>
      </c>
      <c r="F27" s="607">
        <f t="shared" ref="F27:L27" ca="1" si="2">SUM(F15:F26)</f>
        <v>0</v>
      </c>
      <c r="G27" s="607">
        <f t="shared" ca="1" si="2"/>
        <v>0</v>
      </c>
      <c r="H27" s="607">
        <f t="shared" ca="1" si="2"/>
        <v>0</v>
      </c>
      <c r="I27" s="607">
        <f t="shared" ca="1" si="2"/>
        <v>0</v>
      </c>
      <c r="J27" s="607">
        <f t="shared" ca="1" si="2"/>
        <v>0</v>
      </c>
      <c r="K27" s="607">
        <f t="shared" ca="1" si="2"/>
        <v>0</v>
      </c>
      <c r="L27" s="607">
        <f t="shared" ca="1" si="2"/>
        <v>0</v>
      </c>
    </row>
    <row r="28" spans="1:12" ht="21.75" customHeight="1">
      <c r="A28" s="615"/>
      <c r="B28" s="613"/>
      <c r="C28" s="615"/>
      <c r="D28" s="616" t="s">
        <v>334</v>
      </c>
      <c r="E28" s="611"/>
      <c r="F28" s="607">
        <f ca="1">SUM(G28:L28)</f>
        <v>0</v>
      </c>
      <c r="G28" s="617">
        <f t="shared" ref="G28:L28" ca="1" si="3">G27</f>
        <v>0</v>
      </c>
      <c r="H28" s="617">
        <f t="shared" ca="1" si="3"/>
        <v>0</v>
      </c>
      <c r="I28" s="617">
        <f t="shared" ca="1" si="3"/>
        <v>0</v>
      </c>
      <c r="J28" s="617">
        <f t="shared" ca="1" si="3"/>
        <v>0</v>
      </c>
      <c r="K28" s="617">
        <f t="shared" ca="1" si="3"/>
        <v>0</v>
      </c>
      <c r="L28" s="617">
        <f t="shared" ca="1" si="3"/>
        <v>0</v>
      </c>
    </row>
    <row r="29" spans="1:12" ht="21.75" customHeight="1">
      <c r="A29" s="618"/>
      <c r="B29" s="618"/>
      <c r="C29" s="618"/>
      <c r="D29" s="619" t="s">
        <v>10</v>
      </c>
      <c r="E29" s="618" t="s">
        <v>19</v>
      </c>
      <c r="F29" s="620">
        <f t="shared" ref="F29:L29" ca="1" si="4">F15+F27-F28</f>
        <v>0</v>
      </c>
      <c r="G29" s="620">
        <f t="shared" ca="1" si="4"/>
        <v>0</v>
      </c>
      <c r="H29" s="620">
        <f t="shared" ca="1" si="4"/>
        <v>0</v>
      </c>
      <c r="I29" s="620">
        <f t="shared" ca="1" si="4"/>
        <v>0</v>
      </c>
      <c r="J29" s="620">
        <f t="shared" ca="1" si="4"/>
        <v>0</v>
      </c>
      <c r="K29" s="620">
        <f t="shared" ca="1" si="4"/>
        <v>0</v>
      </c>
      <c r="L29" s="620">
        <f t="shared" ca="1" si="4"/>
        <v>0</v>
      </c>
    </row>
    <row r="31" spans="1:12">
      <c r="B31" s="621"/>
      <c r="C31" s="601" t="s">
        <v>318</v>
      </c>
    </row>
    <row r="32" spans="1:12">
      <c r="C32" s="601" t="e">
        <f ca="1">"- Ngày mở sổ: "&amp;"01/"&amp;MONTH(A16)&amp;"/"&amp;YEAR(A16)</f>
        <v>#VALUE!</v>
      </c>
    </row>
    <row r="33" spans="2:12">
      <c r="E33" s="600"/>
      <c r="F33" s="600"/>
      <c r="G33" s="600"/>
      <c r="H33" s="600"/>
      <c r="I33" s="600"/>
      <c r="J33" s="893" t="e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#VALUE!</v>
      </c>
      <c r="K33" s="893"/>
      <c r="L33" s="893"/>
    </row>
    <row r="34" spans="2:12">
      <c r="B34" s="600"/>
      <c r="C34" s="677" t="s">
        <v>11</v>
      </c>
      <c r="D34" s="600"/>
      <c r="E34" s="600"/>
      <c r="F34" s="600"/>
      <c r="G34" s="600"/>
      <c r="H34" s="600"/>
      <c r="I34" s="600"/>
      <c r="J34" s="893" t="s">
        <v>12</v>
      </c>
      <c r="K34" s="893"/>
      <c r="L34" s="893"/>
    </row>
    <row r="35" spans="2:12">
      <c r="B35" s="600"/>
      <c r="C35" s="677" t="s">
        <v>13</v>
      </c>
      <c r="D35" s="600"/>
      <c r="E35" s="600"/>
      <c r="F35" s="600"/>
      <c r="G35" s="600"/>
      <c r="H35" s="600"/>
      <c r="I35" s="600"/>
      <c r="J35" s="907" t="s">
        <v>13</v>
      </c>
      <c r="K35" s="907"/>
      <c r="L35" s="907"/>
    </row>
  </sheetData>
  <mergeCells count="17">
    <mergeCell ref="G12:L12"/>
    <mergeCell ref="H3:K4"/>
    <mergeCell ref="H2:K2"/>
    <mergeCell ref="J33:L33"/>
    <mergeCell ref="J34:L34"/>
    <mergeCell ref="J35:L35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D15" sqref="D15"/>
    </sheetView>
  </sheetViews>
  <sheetFormatPr defaultRowHeight="12.75"/>
  <cols>
    <col min="1" max="1" width="15.42578125" style="240" customWidth="1"/>
    <col min="2" max="2" width="11" style="240" customWidth="1"/>
    <col min="3" max="3" width="22.140625" style="240" customWidth="1"/>
    <col min="4" max="4" width="6.7109375" style="240" customWidth="1"/>
    <col min="5" max="5" width="6.42578125" style="240" customWidth="1"/>
    <col min="6" max="6" width="8.85546875" style="240" customWidth="1"/>
    <col min="7" max="7" width="20.7109375" style="240" customWidth="1"/>
    <col min="8" max="11" width="9.140625" style="240"/>
    <col min="12" max="12" width="10.85546875" style="240" customWidth="1"/>
    <col min="13" max="16384" width="9.140625" style="240"/>
  </cols>
  <sheetData>
    <row r="1" spans="1:12" ht="21.75" customHeight="1">
      <c r="A1" s="720" t="str">
        <f>TH!$A$1</f>
        <v>Đơn vị: CÔNG TY TNHH MỘT THÀNH VIÊN KHỞI NGUYÊN AN</v>
      </c>
      <c r="D1" s="722"/>
      <c r="E1" s="722"/>
      <c r="F1" s="722"/>
      <c r="G1" s="722"/>
      <c r="I1" s="911"/>
      <c r="J1" s="911"/>
      <c r="K1" s="911"/>
      <c r="L1" s="911"/>
    </row>
    <row r="2" spans="1:12" ht="21.75" customHeight="1">
      <c r="A2" s="721" t="str">
        <f>TH!$A$2</f>
        <v>Địa chỉ: Thửa đất số 144, tờ bản đồ số 12TĐH.1, tổ 1, khu phố Đông Tác, Phường Tân Đông Hiệp, Thị Xã Dĩ An, Tỉnh Bình Dương, Việt Nam</v>
      </c>
      <c r="D2" s="722"/>
      <c r="E2" s="722"/>
      <c r="F2" s="722"/>
      <c r="G2" s="722"/>
      <c r="I2" s="911"/>
      <c r="J2" s="911"/>
      <c r="K2" s="911"/>
      <c r="L2" s="911"/>
    </row>
    <row r="3" spans="1:12">
      <c r="D3" s="911"/>
      <c r="E3" s="911"/>
      <c r="F3" s="911"/>
      <c r="G3" s="911"/>
      <c r="I3" s="911"/>
      <c r="J3" s="911"/>
      <c r="K3" s="911"/>
      <c r="L3" s="911"/>
    </row>
    <row r="14" spans="1:12" ht="40.5" customHeight="1">
      <c r="H14" s="241"/>
      <c r="I14" s="241"/>
      <c r="J14" s="241"/>
    </row>
    <row r="16" spans="1:12" ht="29.25" customHeight="1">
      <c r="A16" s="909" t="s">
        <v>346</v>
      </c>
      <c r="B16" s="909"/>
      <c r="C16" s="909"/>
      <c r="D16" s="909"/>
      <c r="E16" s="909"/>
      <c r="F16" s="909"/>
      <c r="G16" s="909"/>
    </row>
    <row r="17" spans="1:9" ht="6" customHeight="1">
      <c r="H17" s="242"/>
      <c r="I17" s="242"/>
    </row>
    <row r="18" spans="1:9" ht="20.25">
      <c r="A18" s="910" t="s">
        <v>345</v>
      </c>
      <c r="B18" s="910"/>
      <c r="C18" s="910"/>
      <c r="D18" s="910"/>
      <c r="E18" s="910"/>
      <c r="F18" s="910"/>
      <c r="G18" s="910"/>
    </row>
    <row r="19" spans="1:9" ht="64.5" customHeight="1"/>
    <row r="22" spans="1:9" ht="22.5" customHeight="1">
      <c r="B22" s="243" t="s">
        <v>348</v>
      </c>
    </row>
    <row r="23" spans="1:9" ht="22.5" customHeight="1">
      <c r="B23" s="243" t="s">
        <v>347</v>
      </c>
    </row>
    <row r="24" spans="1:9" ht="22.5" customHeight="1">
      <c r="B24" s="243" t="s">
        <v>349</v>
      </c>
    </row>
    <row r="25" spans="1:9" ht="22.5" customHeight="1">
      <c r="B25" s="243" t="s">
        <v>352</v>
      </c>
    </row>
  </sheetData>
  <mergeCells count="6">
    <mergeCell ref="A16:G16"/>
    <mergeCell ref="A18:G18"/>
    <mergeCell ref="I1:L1"/>
    <mergeCell ref="I2:L2"/>
    <mergeCell ref="I3:L3"/>
    <mergeCell ref="D3:G3"/>
  </mergeCells>
  <printOptions horizontalCentered="1"/>
  <pageMargins left="1" right="0.22" top="1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10" workbookViewId="0">
      <selection activeCell="C20" sqref="C20"/>
    </sheetView>
  </sheetViews>
  <sheetFormatPr defaultRowHeight="12.75"/>
  <cols>
    <col min="1" max="1" width="15.42578125" style="240" customWidth="1"/>
    <col min="2" max="2" width="11" style="240" customWidth="1"/>
    <col min="3" max="3" width="30.85546875" style="240" customWidth="1"/>
    <col min="4" max="4" width="6.7109375" style="240" customWidth="1"/>
    <col min="5" max="5" width="6.42578125" style="240" customWidth="1"/>
    <col min="6" max="6" width="8.85546875" style="240" customWidth="1"/>
    <col min="7" max="7" width="20.7109375" style="240" customWidth="1"/>
    <col min="8" max="11" width="9.140625" style="240"/>
    <col min="12" max="12" width="10.85546875" style="240" customWidth="1"/>
    <col min="13" max="16384" width="9.140625" style="240"/>
  </cols>
  <sheetData>
    <row r="1" spans="1:10">
      <c r="A1" s="714" t="str">
        <f>TH!$A$1</f>
        <v>Đơn vị: CÔNG TY TNHH MỘT THÀNH VIÊN KHỞI NGUYÊN AN</v>
      </c>
      <c r="D1" s="911"/>
      <c r="E1" s="911"/>
      <c r="F1" s="911"/>
      <c r="G1" s="911"/>
    </row>
    <row r="2" spans="1:10">
      <c r="A2" s="715" t="str">
        <f>TH!$A$2</f>
        <v>Địa chỉ: Thửa đất số 144, tờ bản đồ số 12TĐH.1, tổ 1, khu phố Đông Tác, Phường Tân Đông Hiệp, Thị Xã Dĩ An, Tỉnh Bình Dương, Việt Nam</v>
      </c>
      <c r="D2" s="911"/>
      <c r="E2" s="911"/>
      <c r="F2" s="911"/>
      <c r="G2" s="911"/>
    </row>
    <row r="3" spans="1:10">
      <c r="D3" s="911"/>
      <c r="E3" s="911"/>
      <c r="F3" s="911"/>
      <c r="G3" s="911"/>
    </row>
    <row r="8" spans="1:10" ht="74.25" customHeight="1">
      <c r="H8" s="241"/>
      <c r="I8" s="241"/>
      <c r="J8" s="241"/>
    </row>
    <row r="10" spans="1:10" ht="29.25" customHeight="1">
      <c r="A10" s="909" t="s">
        <v>350</v>
      </c>
      <c r="B10" s="909"/>
      <c r="C10" s="909"/>
      <c r="D10" s="909"/>
      <c r="E10" s="909"/>
      <c r="F10" s="909"/>
      <c r="G10" s="909"/>
    </row>
    <row r="11" spans="1:10" ht="18.75" customHeight="1">
      <c r="H11" s="242"/>
      <c r="I11" s="242"/>
    </row>
    <row r="12" spans="1:10" ht="20.25">
      <c r="A12" s="910" t="s">
        <v>345</v>
      </c>
      <c r="B12" s="910"/>
      <c r="C12" s="910"/>
      <c r="D12" s="910"/>
      <c r="E12" s="910"/>
      <c r="F12" s="910"/>
      <c r="G12" s="910"/>
    </row>
    <row r="13" spans="1:10" ht="18.75" customHeight="1">
      <c r="B13" s="240" t="s">
        <v>353</v>
      </c>
    </row>
    <row r="14" spans="1:10" ht="18.75" customHeight="1">
      <c r="B14" s="240" t="s">
        <v>354</v>
      </c>
    </row>
    <row r="15" spans="1:10" ht="18.75" customHeight="1">
      <c r="B15" s="240" t="s">
        <v>355</v>
      </c>
    </row>
    <row r="16" spans="1:10" ht="18.75" customHeight="1">
      <c r="B16" s="240" t="s">
        <v>356</v>
      </c>
    </row>
    <row r="17" spans="2:2" ht="18.75" customHeight="1">
      <c r="B17" s="240" t="s">
        <v>357</v>
      </c>
    </row>
    <row r="18" spans="2:2" ht="18.75" customHeight="1">
      <c r="B18" s="240" t="s">
        <v>358</v>
      </c>
    </row>
    <row r="19" spans="2:2" ht="18.75" customHeight="1">
      <c r="B19" s="240" t="s">
        <v>359</v>
      </c>
    </row>
    <row r="20" spans="2:2" ht="18.75" customHeight="1">
      <c r="B20" s="240" t="s">
        <v>351</v>
      </c>
    </row>
  </sheetData>
  <mergeCells count="5">
    <mergeCell ref="D1:G1"/>
    <mergeCell ref="D2:G2"/>
    <mergeCell ref="D3:G3"/>
    <mergeCell ref="A10:G10"/>
    <mergeCell ref="A12:G12"/>
  </mergeCells>
  <pageMargins left="0.87" right="0.22" top="0.67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48</vt:i4>
      </vt:variant>
    </vt:vector>
  </HeadingPairs>
  <TitlesOfParts>
    <vt:vector size="72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411</vt:lpstr>
      <vt:lpstr>NXT</vt:lpstr>
      <vt:lpstr>IN-NX</vt:lpstr>
      <vt:lpstr>152-CT</vt:lpstr>
      <vt:lpstr>TK</vt:lpstr>
      <vt:lpstr>BTGT</vt:lpstr>
      <vt:lpstr>THEGT</vt:lpstr>
      <vt:lpstr>154</vt:lpstr>
      <vt:lpstr>632</vt:lpstr>
      <vt:lpstr>642</vt:lpstr>
      <vt:lpstr>641</vt:lpstr>
      <vt:lpstr>Sheet2</vt:lpstr>
      <vt:lpstr>Sheet2 (2)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DSKH</vt:lpstr>
      <vt:lpstr>DSSP1</vt:lpstr>
      <vt:lpstr>DSTK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'632'!Print_Area</vt:lpstr>
      <vt:lpstr>'641'!Print_Area</vt:lpstr>
      <vt:lpstr>'642'!Print_Area</vt:lpstr>
      <vt:lpstr>CTTK!Print_Area</vt:lpstr>
      <vt:lpstr>'IN-NX'!Print_Area</vt:lpstr>
      <vt:lpstr>'IN-TC'!Print_Area</vt:lpstr>
      <vt:lpstr>NKC!Print_Area</vt:lpstr>
      <vt:lpstr>NXT!Print_Area</vt:lpstr>
      <vt:lpstr>Sheet2!Print_Area</vt:lpstr>
      <vt:lpstr>'Sheet2 (2)'!Print_Area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'641'!Print_Titles</vt:lpstr>
      <vt:lpstr>'642'!Print_Titles</vt:lpstr>
      <vt:lpstr>CTTK!Print_Titles</vt:lpstr>
      <vt:lpstr>NKC!Print_Titles</vt:lpstr>
      <vt:lpstr>NXT!Print_Titles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2016-05-26T06:26:26Z</cp:lastPrinted>
  <dcterms:created xsi:type="dcterms:W3CDTF">1996-10-14T23:33:28Z</dcterms:created>
  <dcterms:modified xsi:type="dcterms:W3CDTF">2016-08-01T09:18:13Z</dcterms:modified>
</cp:coreProperties>
</file>