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90" windowWidth="15150" windowHeight="8400" tabRatio="897" activeTab="16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-11'!$A$1:$AS$43</definedName>
    <definedName name="_xlnm.Print_Area" localSheetId="15">'CC -12'!$A$1:$AS$43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AB13" i="45" l="1"/>
  <c r="K27" i="15"/>
  <c r="L12" i="46"/>
  <c r="N14" i="46"/>
  <c r="O14" i="46"/>
  <c r="P14" i="46"/>
  <c r="R14" i="46"/>
  <c r="E14" i="46"/>
  <c r="C12" i="46"/>
  <c r="D12" i="46"/>
  <c r="E12" i="46"/>
  <c r="N12" i="46"/>
  <c r="O12" i="46"/>
  <c r="P12" i="46"/>
  <c r="R12" i="46"/>
  <c r="AM13" i="45"/>
  <c r="H12" i="46" s="1"/>
  <c r="I12" i="46" s="1"/>
  <c r="AL13" i="45"/>
  <c r="AK13" i="45"/>
  <c r="D13" i="45"/>
  <c r="C13" i="45"/>
  <c r="AL20" i="45"/>
  <c r="D20" i="45"/>
  <c r="C20" i="45"/>
  <c r="N14" i="44"/>
  <c r="O14" i="44"/>
  <c r="P14" i="44"/>
  <c r="R14" i="44"/>
  <c r="E14" i="44"/>
  <c r="C12" i="44"/>
  <c r="D12" i="44"/>
  <c r="E12" i="44"/>
  <c r="F12" i="44"/>
  <c r="L12" i="44" s="1"/>
  <c r="N12" i="44"/>
  <c r="O12" i="44"/>
  <c r="P12" i="44"/>
  <c r="R12" i="44"/>
  <c r="AM13" i="43"/>
  <c r="H12" i="44" s="1"/>
  <c r="I12" i="44" s="1"/>
  <c r="AL13" i="43"/>
  <c r="AK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AN13" i="45" l="1"/>
  <c r="F12" i="46"/>
  <c r="G12" i="44"/>
  <c r="K12" i="44" s="1"/>
  <c r="M12" i="44" s="1"/>
  <c r="Q12" i="44" s="1"/>
  <c r="S12" i="44" s="1"/>
  <c r="AN13" i="43"/>
  <c r="J12" i="44"/>
  <c r="K28" i="15"/>
  <c r="G12" i="46" l="1"/>
  <c r="K12" i="46" s="1"/>
  <c r="M12" i="46" s="1"/>
  <c r="Q12" i="46" s="1"/>
  <c r="S12" i="46" s="1"/>
  <c r="J12" i="46"/>
  <c r="AL20" i="41"/>
  <c r="D20" i="41"/>
  <c r="C20" i="41"/>
  <c r="AL20" i="43"/>
  <c r="D20" i="43"/>
  <c r="C20" i="43"/>
  <c r="R18" i="46"/>
  <c r="P18" i="46"/>
  <c r="O18" i="46"/>
  <c r="N18" i="46"/>
  <c r="E18" i="46"/>
  <c r="D18" i="46"/>
  <c r="C18" i="46"/>
  <c r="R17" i="46"/>
  <c r="P17" i="46"/>
  <c r="O17" i="46"/>
  <c r="N17" i="46"/>
  <c r="E17" i="46"/>
  <c r="D17" i="46"/>
  <c r="C17" i="46"/>
  <c r="R16" i="46"/>
  <c r="P16" i="46"/>
  <c r="O16" i="46"/>
  <c r="N16" i="46"/>
  <c r="E16" i="46"/>
  <c r="D16" i="46"/>
  <c r="C16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2" i="46" s="1"/>
  <c r="AL18" i="45"/>
  <c r="D18" i="45"/>
  <c r="C18" i="45"/>
  <c r="A18" i="45"/>
  <c r="A20" i="45" s="1"/>
  <c r="AL16" i="45"/>
  <c r="D16" i="45"/>
  <c r="C16" i="45"/>
  <c r="AL11" i="45"/>
  <c r="D11" i="45"/>
  <c r="C11" i="45"/>
  <c r="AL9" i="45"/>
  <c r="D9" i="45"/>
  <c r="C9" i="45"/>
  <c r="F5" i="45"/>
  <c r="G5" i="45" s="1"/>
  <c r="S1" i="45"/>
  <c r="R18" i="44"/>
  <c r="P18" i="44"/>
  <c r="O18" i="44"/>
  <c r="N18" i="44"/>
  <c r="E18" i="44"/>
  <c r="D18" i="44"/>
  <c r="C18" i="44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2" i="44" s="1"/>
  <c r="AL18" i="43"/>
  <c r="D18" i="43"/>
  <c r="C18" i="43"/>
  <c r="A18" i="43"/>
  <c r="A20" i="43" s="1"/>
  <c r="AL16" i="43"/>
  <c r="D16" i="43"/>
  <c r="C16" i="43"/>
  <c r="AL11" i="43"/>
  <c r="D11" i="43"/>
  <c r="C11" i="43"/>
  <c r="A11" i="43"/>
  <c r="AL9" i="43"/>
  <c r="D9" i="43"/>
  <c r="C9" i="43"/>
  <c r="F5" i="43"/>
  <c r="G5" i="43" s="1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L18" i="41"/>
  <c r="D18" i="41"/>
  <c r="C18" i="41"/>
  <c r="A18" i="41"/>
  <c r="A20" i="41" s="1"/>
  <c r="AL16" i="41"/>
  <c r="D16" i="41"/>
  <c r="C16" i="41"/>
  <c r="AL11" i="41"/>
  <c r="D11" i="41"/>
  <c r="C11" i="41"/>
  <c r="A11" i="41"/>
  <c r="AL9" i="41"/>
  <c r="D9" i="41"/>
  <c r="C9" i="41"/>
  <c r="F5" i="41"/>
  <c r="G5" i="41" s="1"/>
  <c r="S1" i="41"/>
  <c r="F6" i="43" l="1"/>
  <c r="E20" i="42"/>
  <c r="R20" i="42"/>
  <c r="E20" i="44"/>
  <c r="R20" i="44"/>
  <c r="F6" i="45"/>
  <c r="F6" i="41"/>
  <c r="N14" i="42"/>
  <c r="E20" i="46"/>
  <c r="P20" i="42"/>
  <c r="D1" i="42"/>
  <c r="P20" i="44"/>
  <c r="D1" i="44"/>
  <c r="O20" i="46"/>
  <c r="P20" i="46"/>
  <c r="N20" i="46"/>
  <c r="R20" i="46"/>
  <c r="D1" i="46"/>
  <c r="G6" i="45"/>
  <c r="H5" i="45"/>
  <c r="N20" i="44"/>
  <c r="O20" i="44"/>
  <c r="G6" i="43"/>
  <c r="H5" i="43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8" l="1"/>
  <c r="N14" i="40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J5" i="45" l="1"/>
  <c r="I6" i="45"/>
  <c r="J5" i="43"/>
  <c r="I6" i="43"/>
  <c r="J5" i="41"/>
  <c r="I6" i="41"/>
  <c r="I5" i="39"/>
  <c r="H6" i="39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S1" i="33"/>
  <c r="K6" i="45" l="1"/>
  <c r="L5" i="45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S22" i="34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N5" i="45" l="1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0" i="45" l="1"/>
  <c r="AN20" i="45" s="1"/>
  <c r="AM20" i="45"/>
  <c r="AK13" i="41"/>
  <c r="AM13" i="41"/>
  <c r="H12" i="42" s="1"/>
  <c r="I12" i="42" s="1"/>
  <c r="AK20" i="43"/>
  <c r="AM20" i="43"/>
  <c r="H18" i="44" s="1"/>
  <c r="I18" i="44" s="1"/>
  <c r="AM20" i="41"/>
  <c r="H18" i="42" s="1"/>
  <c r="I18" i="42" s="1"/>
  <c r="AK20" i="41"/>
  <c r="AM18" i="45"/>
  <c r="H17" i="46" s="1"/>
  <c r="I17" i="46" s="1"/>
  <c r="AK16" i="45"/>
  <c r="H18" i="46"/>
  <c r="I18" i="46" s="1"/>
  <c r="AM16" i="45"/>
  <c r="H16" i="46" s="1"/>
  <c r="I16" i="46" s="1"/>
  <c r="AK11" i="45"/>
  <c r="AM11" i="45"/>
  <c r="H11" i="46" s="1"/>
  <c r="I11" i="46" s="1"/>
  <c r="AK9" i="45"/>
  <c r="AK18" i="45"/>
  <c r="AM9" i="45"/>
  <c r="H10" i="46" s="1"/>
  <c r="I10" i="46" s="1"/>
  <c r="AM18" i="43"/>
  <c r="H17" i="44" s="1"/>
  <c r="I17" i="44" s="1"/>
  <c r="AK18" i="43"/>
  <c r="AK11" i="43"/>
  <c r="AM11" i="43"/>
  <c r="H11" i="44" s="1"/>
  <c r="I11" i="44" s="1"/>
  <c r="AK16" i="43"/>
  <c r="AK9" i="43"/>
  <c r="AM16" i="43"/>
  <c r="H16" i="44" s="1"/>
  <c r="I16" i="44" s="1"/>
  <c r="AM9" i="43"/>
  <c r="H10" i="44" s="1"/>
  <c r="I10" i="44" s="1"/>
  <c r="AK11" i="41"/>
  <c r="AK9" i="41"/>
  <c r="AK18" i="41"/>
  <c r="AM11" i="41"/>
  <c r="H11" i="42" s="1"/>
  <c r="I11" i="42" s="1"/>
  <c r="AK16" i="41"/>
  <c r="AM18" i="41"/>
  <c r="H17" i="42" s="1"/>
  <c r="I17" i="42" s="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I14" i="46" l="1"/>
  <c r="I14" i="44"/>
  <c r="AN13" i="41"/>
  <c r="F12" i="42"/>
  <c r="AN20" i="43"/>
  <c r="AN20" i="41"/>
  <c r="I14" i="42"/>
  <c r="I20" i="46"/>
  <c r="I20" i="44"/>
  <c r="I20" i="42"/>
  <c r="F11" i="46"/>
  <c r="AN11" i="45"/>
  <c r="AN18" i="45"/>
  <c r="F17" i="46"/>
  <c r="F16" i="46"/>
  <c r="AN16" i="45"/>
  <c r="AN9" i="45"/>
  <c r="F10" i="46"/>
  <c r="F18" i="46"/>
  <c r="F18" i="44"/>
  <c r="F11" i="44"/>
  <c r="AN11" i="43"/>
  <c r="AN18" i="43"/>
  <c r="F17" i="44"/>
  <c r="AN9" i="43"/>
  <c r="F10" i="44"/>
  <c r="F16" i="44"/>
  <c r="AN16" i="43"/>
  <c r="AN9" i="41"/>
  <c r="F10" i="42"/>
  <c r="F16" i="42"/>
  <c r="AN16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G12" i="42" l="1"/>
  <c r="K12" i="42" s="1"/>
  <c r="M12" i="42" s="1"/>
  <c r="Q12" i="42" s="1"/>
  <c r="S12" i="42" s="1"/>
  <c r="J12" i="42"/>
  <c r="L10" i="46"/>
  <c r="G10" i="46"/>
  <c r="J10" i="46"/>
  <c r="L17" i="46"/>
  <c r="G17" i="46"/>
  <c r="K17" i="46" s="1"/>
  <c r="J17" i="46"/>
  <c r="L18" i="46"/>
  <c r="G18" i="46"/>
  <c r="K18" i="46" s="1"/>
  <c r="J18" i="46"/>
  <c r="J16" i="46"/>
  <c r="L16" i="46"/>
  <c r="G16" i="46"/>
  <c r="L11" i="46"/>
  <c r="G11" i="46"/>
  <c r="K11" i="46" s="1"/>
  <c r="J11" i="46"/>
  <c r="L10" i="44"/>
  <c r="L14" i="44" s="1"/>
  <c r="G10" i="44"/>
  <c r="J10" i="44"/>
  <c r="L11" i="44"/>
  <c r="G11" i="44"/>
  <c r="K11" i="44" s="1"/>
  <c r="J11" i="44"/>
  <c r="L17" i="44"/>
  <c r="J17" i="44"/>
  <c r="G17" i="44"/>
  <c r="K17" i="44" s="1"/>
  <c r="J16" i="44"/>
  <c r="L16" i="44"/>
  <c r="G16" i="44"/>
  <c r="L18" i="44"/>
  <c r="G18" i="44"/>
  <c r="K18" i="44" s="1"/>
  <c r="J18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G14" i="46" l="1"/>
  <c r="L14" i="46"/>
  <c r="G14" i="44"/>
  <c r="M17" i="42"/>
  <c r="Q17" i="42" s="1"/>
  <c r="S17" i="42" s="1"/>
  <c r="M18" i="42"/>
  <c r="Q18" i="42" s="1"/>
  <c r="S18" i="42" s="1"/>
  <c r="M18" i="46"/>
  <c r="Q18" i="46" s="1"/>
  <c r="S18" i="46" s="1"/>
  <c r="L20" i="46"/>
  <c r="M17" i="46"/>
  <c r="Q17" i="46" s="1"/>
  <c r="S17" i="46" s="1"/>
  <c r="L20" i="44"/>
  <c r="G20" i="46"/>
  <c r="K16" i="46"/>
  <c r="M11" i="44"/>
  <c r="Q11" i="44" s="1"/>
  <c r="S11" i="44" s="1"/>
  <c r="K10" i="46"/>
  <c r="K14" i="46" s="1"/>
  <c r="M11" i="46"/>
  <c r="Q11" i="46" s="1"/>
  <c r="S11" i="46" s="1"/>
  <c r="L14" i="42"/>
  <c r="M17" i="44"/>
  <c r="Q17" i="44" s="1"/>
  <c r="S17" i="44" s="1"/>
  <c r="G20" i="44"/>
  <c r="K16" i="44"/>
  <c r="K10" i="44"/>
  <c r="K14" i="44" s="1"/>
  <c r="M18" i="44"/>
  <c r="Q18" i="44" s="1"/>
  <c r="S18" i="44" s="1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K20" i="46" l="1"/>
  <c r="M16" i="46"/>
  <c r="M10" i="46"/>
  <c r="M14" i="46" s="1"/>
  <c r="M10" i="44"/>
  <c r="M14" i="44" s="1"/>
  <c r="K20" i="44"/>
  <c r="M16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H11" i="34" s="1"/>
  <c r="I11" i="34" s="1"/>
  <c r="AK11" i="33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H12" i="34" s="1"/>
  <c r="I12" i="34" s="1"/>
  <c r="AK16" i="33"/>
  <c r="AK13" i="33"/>
  <c r="F12" i="34" s="1"/>
  <c r="Z5" i="14"/>
  <c r="Y6" i="14"/>
  <c r="AN11" i="33" l="1"/>
  <c r="F11" i="34"/>
  <c r="J12" i="34"/>
  <c r="L12" i="34"/>
  <c r="G12" i="34"/>
  <c r="K12" i="34" s="1"/>
  <c r="M12" i="34" s="1"/>
  <c r="Q12" i="34" s="1"/>
  <c r="S12" i="34" s="1"/>
  <c r="Q10" i="46"/>
  <c r="Q14" i="46" s="1"/>
  <c r="Q16" i="46"/>
  <c r="M20" i="46"/>
  <c r="Q16" i="44"/>
  <c r="M20" i="44"/>
  <c r="Q10" i="44"/>
  <c r="Q14" i="44" s="1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L11" i="34" l="1"/>
  <c r="J11" i="34"/>
  <c r="G11" i="34"/>
  <c r="K11" i="34" s="1"/>
  <c r="M11" i="34" s="1"/>
  <c r="Q11" i="34" s="1"/>
  <c r="S11" i="34" s="1"/>
  <c r="Q20" i="46"/>
  <c r="S16" i="46"/>
  <c r="S20" i="46" s="1"/>
  <c r="S10" i="46"/>
  <c r="S14" i="46" s="1"/>
  <c r="S10" i="44"/>
  <c r="S14" i="44" s="1"/>
  <c r="Q20" i="44"/>
  <c r="S16" i="44"/>
  <c r="S20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7" i="34"/>
  <c r="Q17" i="34" s="1"/>
  <c r="S17" i="34" s="1"/>
  <c r="K10" i="34"/>
  <c r="K14" i="34" s="1"/>
  <c r="AB6" i="14"/>
  <c r="AC5" i="14"/>
  <c r="M16" i="34" l="1"/>
  <c r="Q14" i="38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I11" i="16" s="1"/>
  <c r="AM18" i="14"/>
  <c r="H17" i="16" s="1"/>
  <c r="I17" i="16" s="1"/>
  <c r="AK9" i="14"/>
  <c r="F10" i="16" s="1"/>
  <c r="AK18" i="14"/>
  <c r="F17" i="16" s="1"/>
  <c r="AM20" i="14"/>
  <c r="H18" i="16" s="1"/>
  <c r="I18" i="16" s="1"/>
  <c r="AK16" i="14"/>
  <c r="F16" i="16" s="1"/>
  <c r="AK20" i="14"/>
  <c r="F18" i="16" s="1"/>
  <c r="AM9" i="14"/>
  <c r="H10" i="16" s="1"/>
  <c r="I10" i="16" s="1"/>
  <c r="AM16" i="14"/>
  <c r="H16" i="16" s="1"/>
  <c r="I16" i="16" s="1"/>
  <c r="AM13" i="14"/>
  <c r="H12" i="16" s="1"/>
  <c r="I12" i="16" s="1"/>
  <c r="AK13" i="14"/>
  <c r="F12" i="16" s="1"/>
  <c r="L16" i="16" l="1"/>
  <c r="G16" i="16"/>
  <c r="J16" i="16"/>
  <c r="I14" i="16"/>
  <c r="L12" i="16"/>
  <c r="G12" i="16"/>
  <c r="K12" i="16" s="1"/>
  <c r="M12" i="16" s="1"/>
  <c r="Q12" i="16" s="1"/>
  <c r="S12" i="16" s="1"/>
  <c r="J12" i="16"/>
  <c r="L18" i="16"/>
  <c r="J18" i="16"/>
  <c r="G18" i="16"/>
  <c r="K18" i="16" s="1"/>
  <c r="M18" i="16" s="1"/>
  <c r="Q18" i="16" s="1"/>
  <c r="S18" i="16" s="1"/>
  <c r="L10" i="16"/>
  <c r="L14" i="16" s="1"/>
  <c r="G10" i="16"/>
  <c r="J10" i="16"/>
  <c r="I20" i="16"/>
  <c r="L17" i="16"/>
  <c r="G17" i="16"/>
  <c r="K17" i="16" s="1"/>
  <c r="J17" i="16"/>
  <c r="L11" i="16"/>
  <c r="G11" i="16"/>
  <c r="K11" i="16" s="1"/>
  <c r="M11" i="16" s="1"/>
  <c r="Q11" i="16" s="1"/>
  <c r="S11" i="16" s="1"/>
  <c r="J11" i="16"/>
  <c r="AN11" i="14"/>
  <c r="AN20" i="14"/>
  <c r="AN18" i="14"/>
  <c r="AN9" i="14"/>
  <c r="AN13" i="14"/>
  <c r="AN16" i="14"/>
  <c r="K16" i="16" l="1"/>
  <c r="G20" i="16"/>
  <c r="M17" i="16"/>
  <c r="Q17" i="16" s="1"/>
  <c r="S17" i="16" s="1"/>
  <c r="K10" i="16"/>
  <c r="G14" i="16"/>
  <c r="L20" i="16"/>
  <c r="M10" i="16" l="1"/>
  <c r="K14" i="16"/>
  <c r="M16" i="16"/>
  <c r="K20" i="16"/>
  <c r="M20" i="16" l="1"/>
  <c r="Q16" i="16"/>
  <c r="M14" i="16"/>
  <c r="Q10" i="16"/>
  <c r="Q20" i="16" l="1"/>
  <c r="S16" i="16"/>
  <c r="S20" i="16" s="1"/>
  <c r="Q14" i="16"/>
  <c r="S10" i="16"/>
  <c r="S14" i="16" s="1"/>
</calcChain>
</file>

<file path=xl/sharedStrings.xml><?xml version="1.0" encoding="utf-8"?>
<sst xmlns="http://schemas.openxmlformats.org/spreadsheetml/2006/main" count="891" uniqueCount="187">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</sst>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2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0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2" activePane="bottomLeft" state="frozen"/>
      <selection activeCell="A8" sqref="A8"/>
      <selection pane="bottomLeft" activeCell="K28" sqref="K2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5" t="s">
        <v>35</v>
      </c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</row>
    <row r="6" spans="1:26" ht="23.25" customHeight="1">
      <c r="A6" s="226" t="str">
        <f>"Tháng "&amp;'CC -5'!C4&amp;" năm 2011"</f>
        <v>Tháng  năm 2011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27" t="s">
        <v>19</v>
      </c>
      <c r="B8" s="227" t="s">
        <v>3</v>
      </c>
      <c r="C8" s="227" t="s">
        <v>1</v>
      </c>
      <c r="D8" s="227" t="s">
        <v>2</v>
      </c>
      <c r="E8" s="222" t="s">
        <v>56</v>
      </c>
      <c r="F8" s="222"/>
      <c r="G8" s="222" t="s">
        <v>36</v>
      </c>
      <c r="H8" s="222"/>
      <c r="I8" s="222" t="s">
        <v>24</v>
      </c>
      <c r="J8" s="222" t="s">
        <v>33</v>
      </c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3" t="s">
        <v>39</v>
      </c>
      <c r="W8" s="223" t="s">
        <v>23</v>
      </c>
      <c r="X8" s="223" t="s">
        <v>11</v>
      </c>
      <c r="Y8" s="107"/>
      <c r="Z8" s="107"/>
    </row>
    <row r="9" spans="1:26" s="1" customFormat="1" ht="20.25" customHeight="1">
      <c r="A9" s="227"/>
      <c r="B9" s="227"/>
      <c r="C9" s="227"/>
      <c r="D9" s="227"/>
      <c r="E9" s="173" t="s">
        <v>159</v>
      </c>
      <c r="F9" s="173">
        <v>2015</v>
      </c>
      <c r="G9" s="172" t="s">
        <v>57</v>
      </c>
      <c r="H9" s="172" t="s">
        <v>38</v>
      </c>
      <c r="I9" s="222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24"/>
      <c r="W9" s="224"/>
      <c r="X9" s="224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2100000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1900000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1900000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8" t="s">
        <v>25</v>
      </c>
      <c r="B22" s="229"/>
      <c r="C22" s="229"/>
      <c r="D22" s="155" t="s">
        <v>135</v>
      </c>
      <c r="E22" s="152">
        <f>SUM(E11:E21)</f>
        <v>15500000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30"/>
      <c r="B23" s="231"/>
      <c r="C23" s="231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32"/>
      <c r="B24" s="233"/>
      <c r="C24" s="233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8278</v>
      </c>
      <c r="K27" s="281">
        <f>E13/27/8</f>
        <v>8796.2962962962956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0.94107789473684222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1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1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1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1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1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1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1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1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1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1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1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1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1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1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1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1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1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1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1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1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1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1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1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1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1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1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1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1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1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1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1" t="str">
        <f>M64</f>
        <v>ALTP017</v>
      </c>
    </row>
    <row r="80" spans="3:14">
      <c r="C80" s="154"/>
      <c r="G80" s="2" t="s">
        <v>103</v>
      </c>
      <c r="J80" s="2" t="s">
        <v>93</v>
      </c>
      <c r="N80" s="221"/>
    </row>
    <row r="81" spans="3:14">
      <c r="C81" s="154"/>
      <c r="G81" s="31" t="s">
        <v>104</v>
      </c>
      <c r="J81" s="2" t="s">
        <v>94</v>
      </c>
      <c r="N81" s="221" t="str">
        <f>M65</f>
        <v>ALTP018</v>
      </c>
    </row>
    <row r="82" spans="3:14">
      <c r="C82" s="154"/>
      <c r="G82" s="31" t="s">
        <v>139</v>
      </c>
      <c r="J82" s="2" t="s">
        <v>95</v>
      </c>
      <c r="N82" s="221"/>
    </row>
    <row r="83" spans="3:14">
      <c r="C83" s="154"/>
      <c r="G83" s="31" t="s">
        <v>146</v>
      </c>
      <c r="J83" s="2" t="s">
        <v>96</v>
      </c>
      <c r="N83" s="221" t="str">
        <f>M66</f>
        <v>ALTP019</v>
      </c>
    </row>
    <row r="84" spans="3:14">
      <c r="C84" s="154"/>
      <c r="G84" s="31" t="s">
        <v>147</v>
      </c>
      <c r="J84" s="2" t="s">
        <v>97</v>
      </c>
      <c r="N84" s="221"/>
    </row>
    <row r="85" spans="3:14">
      <c r="C85" s="154"/>
      <c r="G85" s="31" t="s">
        <v>148</v>
      </c>
      <c r="J85" s="2" t="s">
        <v>98</v>
      </c>
      <c r="N85" s="221" t="str">
        <f>M67</f>
        <v>ALTP020</v>
      </c>
    </row>
    <row r="86" spans="3:14">
      <c r="C86" s="154"/>
      <c r="G86" s="31" t="s">
        <v>149</v>
      </c>
      <c r="J86" s="2" t="s">
        <v>99</v>
      </c>
      <c r="N86" s="221"/>
    </row>
    <row r="87" spans="3:14">
      <c r="C87" s="154"/>
      <c r="N87" s="221" t="str">
        <f>M68</f>
        <v>ALTP025</v>
      </c>
    </row>
    <row r="88" spans="3:14">
      <c r="C88" s="154"/>
      <c r="N88" s="221"/>
    </row>
    <row r="89" spans="3:14">
      <c r="C89" s="154"/>
      <c r="N89" s="221" t="str">
        <f>M69</f>
        <v>ALTP027</v>
      </c>
    </row>
    <row r="90" spans="3:14">
      <c r="C90" s="154"/>
      <c r="N90" s="221"/>
    </row>
    <row r="91" spans="3:14">
      <c r="C91" s="154"/>
      <c r="N91" s="221" t="str">
        <f>M70</f>
        <v>ALTN001</v>
      </c>
    </row>
    <row r="92" spans="3:14">
      <c r="C92" s="154"/>
      <c r="N92" s="221"/>
    </row>
    <row r="93" spans="3:14">
      <c r="C93" s="154"/>
      <c r="N93" s="221" t="str">
        <f>M71</f>
        <v>ALTN002</v>
      </c>
    </row>
    <row r="94" spans="3:14">
      <c r="C94" s="154"/>
      <c r="N94" s="221"/>
    </row>
    <row r="95" spans="3:14">
      <c r="C95" s="154"/>
      <c r="N95" s="221" t="str">
        <f>M72</f>
        <v>ALTN003</v>
      </c>
    </row>
    <row r="96" spans="3:14">
      <c r="C96" s="154"/>
      <c r="N96" s="221"/>
    </row>
    <row r="97" spans="3:14">
      <c r="C97" s="154"/>
      <c r="N97" s="221" t="str">
        <f>M73</f>
        <v>ALTN004</v>
      </c>
    </row>
    <row r="98" spans="3:14">
      <c r="C98" s="154"/>
      <c r="N98" s="221"/>
    </row>
    <row r="99" spans="3:14">
      <c r="C99" s="154"/>
      <c r="N99" s="221" t="str">
        <f>M74</f>
        <v>ALTN006</v>
      </c>
    </row>
    <row r="100" spans="3:14">
      <c r="C100" s="154"/>
      <c r="N100" s="221"/>
    </row>
    <row r="101" spans="3:14">
      <c r="C101" s="154"/>
      <c r="N101" s="221" t="str">
        <f>M75</f>
        <v>ALTN007</v>
      </c>
    </row>
    <row r="102" spans="3:14">
      <c r="C102" s="154"/>
      <c r="N102" s="221"/>
    </row>
    <row r="103" spans="3:14">
      <c r="C103" s="154"/>
      <c r="N103" s="221" t="str">
        <f>M76</f>
        <v>ALTN008</v>
      </c>
    </row>
    <row r="104" spans="3:14">
      <c r="C104" s="154"/>
      <c r="N104" s="221"/>
    </row>
    <row r="105" spans="3:14">
      <c r="C105" s="154"/>
      <c r="N105" s="221" t="str">
        <f>M77</f>
        <v>ALTN009</v>
      </c>
    </row>
    <row r="106" spans="3:14">
      <c r="C106" s="154"/>
      <c r="N106" s="221"/>
    </row>
    <row r="107" spans="3:14">
      <c r="C107" s="154"/>
      <c r="N107" s="221" t="str">
        <f>M78</f>
        <v>ALTN010</v>
      </c>
    </row>
    <row r="108" spans="3:14">
      <c r="C108" s="154"/>
      <c r="N108" s="221"/>
    </row>
    <row r="109" spans="3:14">
      <c r="C109" s="154"/>
      <c r="N109" s="221" t="str">
        <f>M79</f>
        <v>ALTN011</v>
      </c>
    </row>
    <row r="110" spans="3:14">
      <c r="C110" s="154"/>
      <c r="N110" s="221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1">
        <f>((SUM(F9:AJ9))/8)-(SUMIF($F$6:$AJ$6,"C.Nhật",F9:AJ9)/8)</f>
        <v>25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25</v>
      </c>
      <c r="AO9" s="245">
        <v>0</v>
      </c>
      <c r="AP9" s="234"/>
      <c r="AQ9" s="234"/>
      <c r="AR9" s="234"/>
      <c r="AS9" s="236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1">
        <f t="shared" ref="AK11" si="2">((SUM(F11:AJ11))/8)-(SUMIF($F$6:$AJ$6,"C.Nhật",F11:AJ11)/8)</f>
        <v>25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25</v>
      </c>
      <c r="AO11" s="245">
        <v>0</v>
      </c>
      <c r="AP11" s="234"/>
      <c r="AQ11" s="234"/>
      <c r="AR11" s="234"/>
      <c r="AS11" s="236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v>3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1">
        <f t="shared" ref="AK13" si="6">((SUM(F13:AJ13))/8)-(SUMIF($F$6:$AJ$6,"C.Nhật",F13:AJ13)/8)</f>
        <v>25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25</v>
      </c>
      <c r="AO13" s="245">
        <v>0</v>
      </c>
      <c r="AP13" s="234"/>
      <c r="AQ13" s="234"/>
      <c r="AR13" s="234"/>
      <c r="AS13" s="236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1">
        <f t="shared" ref="AK16" si="9">((SUM(F16:AJ16))/8)-(SUMIF($F$6:$AJ$6,"C.Nhật",F16:AJ16)/8)</f>
        <v>25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25</v>
      </c>
      <c r="AO16" s="245">
        <v>0</v>
      </c>
      <c r="AP16" s="234"/>
      <c r="AQ16" s="234"/>
      <c r="AR16" s="234"/>
      <c r="AS16" s="236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1">
        <f t="shared" ref="AK18" si="11">((SUM(F18:AJ18))/8)-(SUMIF($F$6:$AJ$6,"C.Nhật",F18:AJ18)/8)</f>
        <v>25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25</v>
      </c>
      <c r="AO18" s="245">
        <v>0</v>
      </c>
      <c r="AP18" s="234"/>
      <c r="AQ18" s="234"/>
      <c r="AR18" s="234"/>
      <c r="AS18" s="236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1">
        <f t="shared" ref="AK20" si="15">((SUM(F20:AJ20))/8)-(SUMIF($F$6:$AJ$6,"C.Nhật",F20:AJ20)/8)</f>
        <v>25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25</v>
      </c>
      <c r="AO20" s="245">
        <v>0</v>
      </c>
      <c r="AP20" s="234"/>
      <c r="AQ20" s="234"/>
      <c r="AR20" s="234"/>
      <c r="AS20" s="236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  <mergeCell ref="AT5:AT6"/>
    <mergeCell ref="AO9:AO10"/>
    <mergeCell ref="AP9:AP10"/>
    <mergeCell ref="AQ9:AQ10"/>
    <mergeCell ref="AR9:AR10"/>
    <mergeCell ref="AS9:AS10"/>
    <mergeCell ref="AS5:AS6"/>
    <mergeCell ref="AR5:AR6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</mergeCells>
  <phoneticPr fontId="47" type="noConversion"/>
  <conditionalFormatting sqref="F5:AJ6 F13:G14 F9:AJ10 H11:AJ14 F16:G21">
    <cfRule type="expression" dxfId="92" priority="25" stopIfTrue="1">
      <formula>IF(WEEKDAY(F$5)=1,TRUE,FALSE)</formula>
    </cfRule>
  </conditionalFormatting>
  <conditionalFormatting sqref="F13:G14 F9:AJ10 H11:AJ14">
    <cfRule type="expression" dxfId="91" priority="22" stopIfTrue="1">
      <formula>IF(WEEKDAY(F$5)=1,TRUE,FALSE)</formula>
    </cfRule>
  </conditionalFormatting>
  <conditionalFormatting sqref="F16:G21">
    <cfRule type="expression" dxfId="90" priority="5" stopIfTrue="1">
      <formula>IF(WEEKDAY(F$5)=1,TRUE,FALSE)</formula>
    </cfRule>
  </conditionalFormatting>
  <conditionalFormatting sqref="F11:G12">
    <cfRule type="expression" dxfId="89" priority="4" stopIfTrue="1">
      <formula>IF(WEEKDAY(F$5)=1,TRUE,FALSE)</formula>
    </cfRule>
  </conditionalFormatting>
  <conditionalFormatting sqref="F11:G12">
    <cfRule type="expression" dxfId="88" priority="3" stopIfTrue="1">
      <formula>IF(WEEKDAY(F$5)=1,TRUE,FALSE)</formula>
    </cfRule>
  </conditionalFormatting>
  <conditionalFormatting sqref="H16:AJ21">
    <cfRule type="expression" dxfId="87" priority="2" stopIfTrue="1">
      <formula>IF(WEEKDAY(H$5)=1,TRUE,FALSE)</formula>
    </cfRule>
  </conditionalFormatting>
  <conditionalFormatting sqref="H16:AJ21">
    <cfRule type="expression" dxfId="86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A2" sqref="A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1" t="str">
        <f>"BẢNG THANH TOÁN LƯƠNG THÁNG"&amp;" "&amp;TEXT($E$4,"mm")&amp;" / "&amp;TEXT($E$4,"yyyy")</f>
        <v>BẢNG THANH TOÁN LƯƠNG THÁNG 05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34" t="s">
        <v>40</v>
      </c>
      <c r="G7" s="35" t="s">
        <v>18</v>
      </c>
      <c r="H7" s="171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-5'!$B$8:$AS$21,36,0)</f>
        <v>25</v>
      </c>
      <c r="G10" s="145">
        <f t="shared" ref="G10" si="3">ROUND(E10/$U$2*F10,0)</f>
        <v>2100000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2100000</v>
      </c>
      <c r="L10" s="90">
        <f t="shared" ref="L10" si="6">+F10*15000</f>
        <v>375000</v>
      </c>
      <c r="M10" s="40">
        <f t="shared" ref="M10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2475000</v>
      </c>
      <c r="R10" s="39">
        <f>VLOOKUP(B10,DS,23,0)</f>
        <v>0</v>
      </c>
      <c r="S10" s="45">
        <f t="shared" ref="S10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-5'!$B$8:$AS$21,36,0)</f>
        <v>25</v>
      </c>
      <c r="G11" s="145">
        <f t="shared" ref="G11:G12" si="13">ROUND(E11/$U$2*F11,0)</f>
        <v>1900000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1900000</v>
      </c>
      <c r="L11" s="90">
        <f t="shared" ref="L11:L12" si="17">+F11*15000</f>
        <v>375000</v>
      </c>
      <c r="M11" s="40">
        <f t="shared" ref="M11:M12" si="18">K11+L11</f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2275000</v>
      </c>
      <c r="R11" s="39">
        <f>VLOOKUP(B11,DS,23,0)</f>
        <v>0</v>
      </c>
      <c r="S11" s="45">
        <f t="shared" ref="S11:S12" si="20">Q11-R11</f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-5'!$B$8:$AS$21,36,0)</f>
        <v>25</v>
      </c>
      <c r="G12" s="145">
        <f t="shared" si="13"/>
        <v>1900000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1900000</v>
      </c>
      <c r="L12" s="90">
        <f t="shared" si="17"/>
        <v>375000</v>
      </c>
      <c r="M12" s="40">
        <f t="shared" si="18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2275000</v>
      </c>
      <c r="R12" s="39">
        <f>VLOOKUP(B12,DS,23,0)</f>
        <v>0</v>
      </c>
      <c r="S12" s="45">
        <f t="shared" si="20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1125000</v>
      </c>
      <c r="M14" s="140">
        <f t="shared" si="21"/>
        <v>7025000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7025000</v>
      </c>
      <c r="R14" s="140">
        <f t="shared" si="21"/>
        <v>0</v>
      </c>
      <c r="S14" s="140">
        <f t="shared" si="21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1">
        <f>((SUM(F9:AJ9))/8)-(SUMIF($F$6:$AJ$6,"C.Nhật",F9:AJ9)/8)</f>
        <v>26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26</v>
      </c>
      <c r="AO9" s="245">
        <v>0</v>
      </c>
      <c r="AP9" s="234"/>
      <c r="AQ9" s="234"/>
      <c r="AR9" s="234"/>
      <c r="AS9" s="236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26</v>
      </c>
      <c r="AO11" s="245">
        <v>0</v>
      </c>
      <c r="AP11" s="234"/>
      <c r="AQ11" s="234"/>
      <c r="AR11" s="234"/>
      <c r="AS11" s="236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1">
        <f t="shared" ref="AK13" si="6">((SUM(F13:AJ13))/8)-(SUMIF($F$6:$AJ$6,"C.Nhật",F13:AJ13)/8)</f>
        <v>26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26</v>
      </c>
      <c r="AO13" s="245">
        <v>0</v>
      </c>
      <c r="AP13" s="234"/>
      <c r="AQ13" s="234"/>
      <c r="AR13" s="234"/>
      <c r="AS13" s="236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1">
        <f t="shared" ref="AK16" si="9">((SUM(F16:AJ16))/8)-(SUMIF($F$6:$AJ$6,"C.Nhật",F16:AJ16)/8)</f>
        <v>26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26</v>
      </c>
      <c r="AO16" s="245">
        <v>0</v>
      </c>
      <c r="AP16" s="234"/>
      <c r="AQ16" s="234"/>
      <c r="AR16" s="234"/>
      <c r="AS16" s="236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1">
        <f t="shared" ref="AK18" si="11">((SUM(F18:AJ18))/8)-(SUMIF($F$6:$AJ$6,"C.Nhật",F18:AJ18)/8)</f>
        <v>26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26</v>
      </c>
      <c r="AO18" s="245">
        <v>0</v>
      </c>
      <c r="AP18" s="234"/>
      <c r="AQ18" s="234"/>
      <c r="AR18" s="234"/>
      <c r="AS18" s="236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1">
        <f t="shared" ref="AK20" si="15">((SUM(F20:AJ20))/8)-(SUMIF($F$6:$AJ$6,"C.Nhật",F20:AJ20)/8)</f>
        <v>26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26</v>
      </c>
      <c r="AO20" s="245">
        <v>0</v>
      </c>
      <c r="AP20" s="234"/>
      <c r="AQ20" s="234"/>
      <c r="AR20" s="234"/>
      <c r="AS20" s="236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3:A14"/>
    <mergeCell ref="B13:B14"/>
    <mergeCell ref="C13:C14"/>
    <mergeCell ref="D13:D14"/>
    <mergeCell ref="AK13:AK14"/>
    <mergeCell ref="AN13:AN14"/>
    <mergeCell ref="AO13:AO14"/>
    <mergeCell ref="AM9:AM10"/>
    <mergeCell ref="AN9:AN10"/>
    <mergeCell ref="AO9:AO10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</mergeCells>
  <conditionalFormatting sqref="F5:AJ6 F9:AJ10 F16:AJ21 F13:AJ14">
    <cfRule type="expression" dxfId="85" priority="12" stopIfTrue="1">
      <formula>IF(WEEKDAY(F$5)=1,TRUE,FALSE)</formula>
    </cfRule>
  </conditionalFormatting>
  <conditionalFormatting sqref="F9:AJ10 F13:AJ14">
    <cfRule type="expression" dxfId="84" priority="11" stopIfTrue="1">
      <formula>IF(WEEKDAY(F$5)=1,TRUE,FALSE)</formula>
    </cfRule>
  </conditionalFormatting>
  <conditionalFormatting sqref="F16:AJ21">
    <cfRule type="expression" dxfId="83" priority="10" stopIfTrue="1">
      <formula>IF(WEEKDAY(F$5)=1,TRUE,FALSE)</formula>
    </cfRule>
  </conditionalFormatting>
  <conditionalFormatting sqref="F16:AJ21">
    <cfRule type="expression" dxfId="82" priority="9" stopIfTrue="1">
      <formula>IF(WEEKDAY(F$5)=1,TRUE,FALSE)</formula>
    </cfRule>
  </conditionalFormatting>
  <conditionalFormatting sqref="F16:AI21">
    <cfRule type="expression" dxfId="81" priority="8" stopIfTrue="1">
      <formula>IF(WEEKDAY(F$5)=1,TRUE,FALSE)</formula>
    </cfRule>
  </conditionalFormatting>
  <conditionalFormatting sqref="F16:AJ21">
    <cfRule type="expression" dxfId="80" priority="7" stopIfTrue="1">
      <formula>IF(WEEKDAY(F$5)=1,TRUE,FALSE)</formula>
    </cfRule>
  </conditionalFormatting>
  <conditionalFormatting sqref="F16:AI21">
    <cfRule type="expression" dxfId="79" priority="6" stopIfTrue="1">
      <formula>IF(WEEKDAY(F$5)=1,TRUE,FALSE)</formula>
    </cfRule>
  </conditionalFormatting>
  <conditionalFormatting sqref="F16:AJ21">
    <cfRule type="expression" dxfId="78" priority="5" stopIfTrue="1">
      <formula>IF(WEEKDAY(F$5)=1,TRUE,FALSE)</formula>
    </cfRule>
  </conditionalFormatting>
  <conditionalFormatting sqref="F16:AJ21">
    <cfRule type="expression" dxfId="77" priority="4" stopIfTrue="1">
      <formula>IF(WEEKDAY(F$5)=1,TRUE,FALSE)</formula>
    </cfRule>
  </conditionalFormatting>
  <conditionalFormatting sqref="F16:AJ21">
    <cfRule type="expression" dxfId="76" priority="3" stopIfTrue="1">
      <formula>IF(WEEKDAY(F$5)=1,TRUE,FALSE)</formula>
    </cfRule>
  </conditionalFormatting>
  <conditionalFormatting sqref="F11:AJ12">
    <cfRule type="expression" dxfId="75" priority="2" stopIfTrue="1">
      <formula>IF(WEEKDAY(F$5)=1,TRUE,FALSE)</formula>
    </cfRule>
  </conditionalFormatting>
  <conditionalFormatting sqref="F11:AJ12">
    <cfRule type="expression" dxfId="7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71" t="str">
        <f>"BẢNG THANH TOÁN LƯƠNG THÁNG"&amp;" "&amp;TEXT($E$4,"mm")&amp;" / "&amp;TEXT($E$4,"yyyy")</f>
        <v>BẢNG THANH TOÁN LƯƠNG THÁNG 06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196" t="s">
        <v>40</v>
      </c>
      <c r="G7" s="193" t="s">
        <v>18</v>
      </c>
      <c r="H7" s="196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-6'!$B$8:$AS$21,36,0)</f>
        <v>26</v>
      </c>
      <c r="G10" s="145">
        <f t="shared" ref="G10" si="3">ROUND(E10/$U$2*F10,0)</f>
        <v>2100000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-6'!$B$8:$AS$21,36,0)</f>
        <v>26</v>
      </c>
      <c r="G11" s="145">
        <f t="shared" ref="G11:G12" si="13">ROUND(E11/$U$2*F11,0)</f>
        <v>1900000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1900000</v>
      </c>
      <c r="L11" s="90">
        <f t="shared" ref="L11:L12" si="17">+F11*15000</f>
        <v>390000</v>
      </c>
      <c r="M11" s="40">
        <f t="shared" ref="M11:M12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2290000</v>
      </c>
      <c r="R11" s="39">
        <f>VLOOKUP(B11,DS,23,0)</f>
        <v>0</v>
      </c>
      <c r="S11" s="45">
        <f t="shared" ref="S11:S12" si="20">Q11-R11</f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-6'!$B$8:$AS$21,36,0)</f>
        <v>26</v>
      </c>
      <c r="G12" s="145">
        <f t="shared" si="13"/>
        <v>1900000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1900000</v>
      </c>
      <c r="L12" s="90">
        <f t="shared" si="17"/>
        <v>390000</v>
      </c>
      <c r="M12" s="40">
        <f t="shared" si="18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2290000</v>
      </c>
      <c r="R12" s="39">
        <f>VLOOKUP(B12,DS,23,0)</f>
        <v>0</v>
      </c>
      <c r="S12" s="45">
        <f t="shared" si="20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1170000</v>
      </c>
      <c r="M14" s="140">
        <f t="shared" si="21"/>
        <v>7070000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7070000</v>
      </c>
      <c r="R14" s="140">
        <f t="shared" si="21"/>
        <v>0</v>
      </c>
      <c r="S14" s="140">
        <f t="shared" si="21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J6:J7"/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1">
        <f>((SUM(F9:AJ9))/8)-(SUMIF($F$6:$AJ$6,"C.Nhật",F9:AJ9)/8)</f>
        <v>26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26</v>
      </c>
      <c r="AO9" s="245">
        <v>0</v>
      </c>
      <c r="AP9" s="234"/>
      <c r="AQ9" s="234"/>
      <c r="AR9" s="234"/>
      <c r="AS9" s="236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26</v>
      </c>
      <c r="AO11" s="245">
        <v>0</v>
      </c>
      <c r="AP11" s="234"/>
      <c r="AQ11" s="234"/>
      <c r="AR11" s="234"/>
      <c r="AS11" s="236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1">
        <f t="shared" ref="AK13" si="6">((SUM(F13:AJ13))/8)-(SUMIF($F$6:$AJ$6,"C.Nhật",F13:AJ13)/8)</f>
        <v>26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26</v>
      </c>
      <c r="AO13" s="245">
        <v>0</v>
      </c>
      <c r="AP13" s="234"/>
      <c r="AQ13" s="234"/>
      <c r="AR13" s="234"/>
      <c r="AS13" s="236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1">
        <f t="shared" ref="AK16" si="9">((SUM(F16:AJ16))/8)-(SUMIF($F$6:$AJ$6,"C.Nhật",F16:AJ16)/8)</f>
        <v>26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26</v>
      </c>
      <c r="AO16" s="245">
        <v>0</v>
      </c>
      <c r="AP16" s="234"/>
      <c r="AQ16" s="234"/>
      <c r="AR16" s="234"/>
      <c r="AS16" s="236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1">
        <f t="shared" ref="AK18" si="11">((SUM(F18:AJ18))/8)-(SUMIF($F$6:$AJ$6,"C.Nhật",F18:AJ18)/8)</f>
        <v>26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26</v>
      </c>
      <c r="AO18" s="245">
        <v>0</v>
      </c>
      <c r="AP18" s="234"/>
      <c r="AQ18" s="234"/>
      <c r="AR18" s="234"/>
      <c r="AS18" s="236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1">
        <f t="shared" ref="AK20" si="15">((SUM(F20:AJ20))/8)-(SUMIF($F$6:$AJ$6,"C.Nhật",F20:AJ20)/8)</f>
        <v>26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26</v>
      </c>
      <c r="AO20" s="245">
        <v>0</v>
      </c>
      <c r="AP20" s="234"/>
      <c r="AQ20" s="234"/>
      <c r="AR20" s="234"/>
      <c r="AS20" s="236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73" priority="13" stopIfTrue="1">
      <formula>IF(WEEKDAY(F$5)=1,TRUE,FALSE)</formula>
    </cfRule>
  </conditionalFormatting>
  <conditionalFormatting sqref="F9:AJ14">
    <cfRule type="expression" dxfId="72" priority="12" stopIfTrue="1">
      <formula>IF(WEEKDAY(F$5)=1,TRUE,FALSE)</formula>
    </cfRule>
  </conditionalFormatting>
  <conditionalFormatting sqref="F16:AJ21">
    <cfRule type="expression" dxfId="71" priority="11" stopIfTrue="1">
      <formula>IF(WEEKDAY(F$5)=1,TRUE,FALSE)</formula>
    </cfRule>
  </conditionalFormatting>
  <conditionalFormatting sqref="F16:AJ21">
    <cfRule type="expression" dxfId="70" priority="10" stopIfTrue="1">
      <formula>IF(WEEKDAY(F$5)=1,TRUE,FALSE)</formula>
    </cfRule>
  </conditionalFormatting>
  <conditionalFormatting sqref="F16:AI21">
    <cfRule type="expression" dxfId="69" priority="9" stopIfTrue="1">
      <formula>IF(WEEKDAY(F$5)=1,TRUE,FALSE)</formula>
    </cfRule>
  </conditionalFormatting>
  <conditionalFormatting sqref="F16:AJ21">
    <cfRule type="expression" dxfId="68" priority="8" stopIfTrue="1">
      <formula>IF(WEEKDAY(F$5)=1,TRUE,FALSE)</formula>
    </cfRule>
  </conditionalFormatting>
  <conditionalFormatting sqref="F16:AI21">
    <cfRule type="expression" dxfId="67" priority="7" stopIfTrue="1">
      <formula>IF(WEEKDAY(F$5)=1,TRUE,FALSE)</formula>
    </cfRule>
  </conditionalFormatting>
  <conditionalFormatting sqref="F16:AJ21">
    <cfRule type="expression" dxfId="66" priority="6" stopIfTrue="1">
      <formula>IF(WEEKDAY(F$5)=1,TRUE,FALSE)</formula>
    </cfRule>
  </conditionalFormatting>
  <conditionalFormatting sqref="F16:AJ21">
    <cfRule type="expression" dxfId="65" priority="5" stopIfTrue="1">
      <formula>IF(WEEKDAY(F$5)=1,TRUE,FALSE)</formula>
    </cfRule>
  </conditionalFormatting>
  <conditionalFormatting sqref="F16:AJ21">
    <cfRule type="expression" dxfId="64" priority="4" stopIfTrue="1">
      <formula>IF(WEEKDAY(F$5)=1,TRUE,FALSE)</formula>
    </cfRule>
  </conditionalFormatting>
  <conditionalFormatting sqref="F16:AJ21">
    <cfRule type="expression" dxfId="6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1" t="str">
        <f>"BẢNG THANH TOÁN LƯƠNG THÁNG"&amp;" "&amp;TEXT($E$4,"mm")&amp;" / "&amp;TEXT($E$4,"yyyy")</f>
        <v>BẢNG THANH TOÁN LƯƠNG THÁNG 07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02" t="s">
        <v>40</v>
      </c>
      <c r="G7" s="200" t="s">
        <v>18</v>
      </c>
      <c r="H7" s="202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-7'!$B$8:$AS$21,36,0)</f>
        <v>26</v>
      </c>
      <c r="G10" s="145">
        <f t="shared" ref="G10:G12" si="3">ROUND(E10/$U$2*F10,0)</f>
        <v>2100000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2100000</v>
      </c>
      <c r="L10" s="90">
        <f t="shared" ref="L10:L12" si="6">+F10*15000</f>
        <v>390000</v>
      </c>
      <c r="M10" s="40">
        <f t="shared" ref="M10:M12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2490000</v>
      </c>
      <c r="R10" s="39">
        <f>VLOOKUP(B10,DS,23,0)</f>
        <v>0</v>
      </c>
      <c r="S10" s="45">
        <f t="shared" ref="S10:S12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-7'!$B$8:$AS$21,36,0)</f>
        <v>26</v>
      </c>
      <c r="G11" s="145">
        <f t="shared" si="3"/>
        <v>1900000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-7'!$B$8:$AS$21,36,0)</f>
        <v>26</v>
      </c>
      <c r="G12" s="145">
        <f t="shared" si="3"/>
        <v>1900000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1900000</v>
      </c>
      <c r="L12" s="90">
        <f t="shared" si="6"/>
        <v>390000</v>
      </c>
      <c r="M12" s="40">
        <f t="shared" si="7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2290000</v>
      </c>
      <c r="R12" s="39">
        <f>VLOOKUP(B12,DS,23,0)</f>
        <v>0</v>
      </c>
      <c r="S12" s="45">
        <f t="shared" si="9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1170000</v>
      </c>
      <c r="M14" s="140">
        <f t="shared" si="10"/>
        <v>7070000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7070000</v>
      </c>
      <c r="R14" s="140">
        <f t="shared" si="10"/>
        <v>0</v>
      </c>
      <c r="S14" s="140">
        <f t="shared" si="10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1">
        <f>((SUM(F9:AJ9))/8)-(SUMIF($F$6:$AJ$6,"C.Nhật",F9:AJ9)/8)</f>
        <v>27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27</v>
      </c>
      <c r="AO9" s="245">
        <v>0</v>
      </c>
      <c r="AP9" s="234"/>
      <c r="AQ9" s="234"/>
      <c r="AR9" s="234"/>
      <c r="AS9" s="236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1">
        <f t="shared" ref="AK11" si="2">((SUM(F11:AJ11))/8)-(SUMIF($F$6:$AJ$6,"C.Nhật",F11:AJ11)/8)</f>
        <v>27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27</v>
      </c>
      <c r="AO11" s="245">
        <v>0</v>
      </c>
      <c r="AP11" s="234"/>
      <c r="AQ11" s="234"/>
      <c r="AR11" s="234"/>
      <c r="AS11" s="236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1">
        <f t="shared" ref="AK13" si="6">((SUM(F13:AJ13))/8)-(SUMIF($F$6:$AJ$6,"C.Nhật",F13:AJ13)/8)</f>
        <v>27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27</v>
      </c>
      <c r="AO13" s="245">
        <v>0</v>
      </c>
      <c r="AP13" s="234"/>
      <c r="AQ13" s="234"/>
      <c r="AR13" s="234"/>
      <c r="AS13" s="236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1">
        <f t="shared" ref="AK16" si="9">((SUM(F16:AJ16))/8)-(SUMIF($F$6:$AJ$6,"C.Nhật",F16:AJ16)/8)</f>
        <v>27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27</v>
      </c>
      <c r="AO16" s="245">
        <v>0</v>
      </c>
      <c r="AP16" s="234"/>
      <c r="AQ16" s="234"/>
      <c r="AR16" s="234"/>
      <c r="AS16" s="236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1">
        <f t="shared" ref="AK18" si="11">((SUM(F18:AJ18))/8)-(SUMIF($F$6:$AJ$6,"C.Nhật",F18:AJ18)/8)</f>
        <v>27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27</v>
      </c>
      <c r="AO18" s="245">
        <v>0</v>
      </c>
      <c r="AP18" s="234"/>
      <c r="AQ18" s="234"/>
      <c r="AR18" s="234"/>
      <c r="AS18" s="236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1">
        <f t="shared" ref="AK20" si="15">((SUM(F20:AJ20))/8)-(SUMIF($F$6:$AJ$6,"C.Nhật",F20:AJ20)/8)</f>
        <v>27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27</v>
      </c>
      <c r="AO20" s="245">
        <v>0</v>
      </c>
      <c r="AP20" s="234"/>
      <c r="AQ20" s="234"/>
      <c r="AR20" s="234"/>
      <c r="AS20" s="236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62" priority="12" stopIfTrue="1">
      <formula>IF(WEEKDAY(F$5)=1,TRUE,FALSE)</formula>
    </cfRule>
  </conditionalFormatting>
  <conditionalFormatting sqref="F9:AJ14">
    <cfRule type="expression" dxfId="61" priority="11" stopIfTrue="1">
      <formula>IF(WEEKDAY(F$5)=1,TRUE,FALSE)</formula>
    </cfRule>
  </conditionalFormatting>
  <conditionalFormatting sqref="F16:AJ21">
    <cfRule type="expression" dxfId="60" priority="10" stopIfTrue="1">
      <formula>IF(WEEKDAY(F$5)=1,TRUE,FALSE)</formula>
    </cfRule>
  </conditionalFormatting>
  <conditionalFormatting sqref="F16:AJ21">
    <cfRule type="expression" dxfId="59" priority="9" stopIfTrue="1">
      <formula>IF(WEEKDAY(F$5)=1,TRUE,FALSE)</formula>
    </cfRule>
  </conditionalFormatting>
  <conditionalFormatting sqref="F16:AI21">
    <cfRule type="expression" dxfId="58" priority="8" stopIfTrue="1">
      <formula>IF(WEEKDAY(F$5)=1,TRUE,FALSE)</formula>
    </cfRule>
  </conditionalFormatting>
  <conditionalFormatting sqref="F16:AJ21">
    <cfRule type="expression" dxfId="57" priority="7" stopIfTrue="1">
      <formula>IF(WEEKDAY(F$5)=1,TRUE,FALSE)</formula>
    </cfRule>
  </conditionalFormatting>
  <conditionalFormatting sqref="F16:AI21">
    <cfRule type="expression" dxfId="56" priority="6" stopIfTrue="1">
      <formula>IF(WEEKDAY(F$5)=1,TRUE,FALSE)</formula>
    </cfRule>
  </conditionalFormatting>
  <conditionalFormatting sqref="F16:AJ21">
    <cfRule type="expression" dxfId="55" priority="5" stopIfTrue="1">
      <formula>IF(WEEKDAY(F$5)=1,TRUE,FALSE)</formula>
    </cfRule>
  </conditionalFormatting>
  <conditionalFormatting sqref="F16:AJ21">
    <cfRule type="expression" dxfId="54" priority="4" stopIfTrue="1">
      <formula>IF(WEEKDAY(F$5)=1,TRUE,FALSE)</formula>
    </cfRule>
  </conditionalFormatting>
  <conditionalFormatting sqref="F16:AJ21">
    <cfRule type="expression" dxfId="53" priority="3" stopIfTrue="1">
      <formula>IF(WEEKDAY(F$5)=1,TRUE,FALSE)</formula>
    </cfRule>
  </conditionalFormatting>
  <conditionalFormatting sqref="F16:AJ21">
    <cfRule type="expression" dxfId="52" priority="2" stopIfTrue="1">
      <formula>IF(WEEKDAY(F$5)=1,TRUE,FALSE)</formula>
    </cfRule>
  </conditionalFormatting>
  <conditionalFormatting sqref="F16:AJ21">
    <cfRule type="expression" dxfId="5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1" t="str">
        <f>"BẢNG THANH TOÁN LƯƠNG THÁNG"&amp;" "&amp;TEXT($E$4,"mm")&amp;" / "&amp;TEXT($E$4,"yyyy")</f>
        <v>BẢNG THANH TOÁN LƯƠNG THÁNG 08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02" t="s">
        <v>40</v>
      </c>
      <c r="G7" s="200" t="s">
        <v>18</v>
      </c>
      <c r="H7" s="202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- 8'!$B$8:$AS$21,36,0)</f>
        <v>27</v>
      </c>
      <c r="G10" s="145">
        <f t="shared" ref="G10:G12" si="3">ROUND(E10/$U$2*F10,0)</f>
        <v>2100000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2100000</v>
      </c>
      <c r="L10" s="90">
        <f t="shared" ref="L10:L12" si="6">+F10*15000</f>
        <v>405000</v>
      </c>
      <c r="M10" s="40">
        <f t="shared" ref="M10:M12" si="7">K10+L10</f>
        <v>2505000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2505000</v>
      </c>
      <c r="R10" s="39">
        <f>VLOOKUP(B10,DS,23,0)</f>
        <v>0</v>
      </c>
      <c r="S10" s="45">
        <f t="shared" ref="S10:S12" si="9">Q10-R10</f>
        <v>2505000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- 8'!$B$8:$AS$21,36,0)</f>
        <v>27</v>
      </c>
      <c r="G11" s="145">
        <f t="shared" si="3"/>
        <v>1900000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1900000</v>
      </c>
      <c r="L11" s="90">
        <f t="shared" si="6"/>
        <v>405000</v>
      </c>
      <c r="M11" s="40">
        <f t="shared" si="7"/>
        <v>2305000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2305000</v>
      </c>
      <c r="R11" s="39">
        <f>VLOOKUP(B11,DS,23,0)</f>
        <v>0</v>
      </c>
      <c r="S11" s="45">
        <f t="shared" si="9"/>
        <v>2305000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- 8'!$B$8:$AS$21,36,0)</f>
        <v>27</v>
      </c>
      <c r="G12" s="145">
        <f t="shared" si="3"/>
        <v>1900000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1900000</v>
      </c>
      <c r="L12" s="90">
        <f t="shared" si="6"/>
        <v>405000</v>
      </c>
      <c r="M12" s="40">
        <f t="shared" si="7"/>
        <v>2305000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2305000</v>
      </c>
      <c r="R12" s="39">
        <f>VLOOKUP(B12,DS,23,0)</f>
        <v>0</v>
      </c>
      <c r="S12" s="45">
        <f t="shared" si="9"/>
        <v>2305000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1215000</v>
      </c>
      <c r="M14" s="140">
        <f t="shared" si="10"/>
        <v>7115000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7115000</v>
      </c>
      <c r="R14" s="140">
        <f t="shared" si="10"/>
        <v>0</v>
      </c>
      <c r="S14" s="140">
        <f t="shared" si="10"/>
        <v>7115000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1">
        <f>((SUM(F9:AJ9))/8)-(SUMIF($F$6:$AJ$6,"C.Nhật",F9:AJ9)/8)</f>
        <v>25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25</v>
      </c>
      <c r="AO9" s="245">
        <v>0</v>
      </c>
      <c r="AP9" s="234"/>
      <c r="AQ9" s="234"/>
      <c r="AR9" s="234"/>
      <c r="AS9" s="236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1">
        <f t="shared" ref="AK11" si="2">((SUM(F11:AJ11))/8)-(SUMIF($F$6:$AJ$6,"C.Nhật",F11:AJ11)/8)</f>
        <v>25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25</v>
      </c>
      <c r="AO11" s="245">
        <v>0</v>
      </c>
      <c r="AP11" s="234"/>
      <c r="AQ11" s="234"/>
      <c r="AR11" s="234"/>
      <c r="AS11" s="236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1">
        <f t="shared" ref="AK13" si="6">((SUM(F13:AJ13))/8)-(SUMIF($F$6:$AJ$6,"C.Nhật",F13:AJ13)/8)</f>
        <v>25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25</v>
      </c>
      <c r="AO13" s="245">
        <v>0</v>
      </c>
      <c r="AP13" s="234"/>
      <c r="AQ13" s="234"/>
      <c r="AR13" s="234"/>
      <c r="AS13" s="236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1">
        <f t="shared" ref="AK16" si="9">((SUM(F16:AJ16))/8)-(SUMIF($F$6:$AJ$6,"C.Nhật",F16:AJ16)/8)</f>
        <v>25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25</v>
      </c>
      <c r="AO16" s="245">
        <v>0</v>
      </c>
      <c r="AP16" s="234"/>
      <c r="AQ16" s="234"/>
      <c r="AR16" s="234"/>
      <c r="AS16" s="236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1">
        <f t="shared" ref="AK18" si="11">((SUM(F18:AJ18))/8)-(SUMIF($F$6:$AJ$6,"C.Nhật",F18:AJ18)/8)</f>
        <v>25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25</v>
      </c>
      <c r="AO18" s="245">
        <v>0</v>
      </c>
      <c r="AP18" s="234"/>
      <c r="AQ18" s="234"/>
      <c r="AR18" s="234"/>
      <c r="AS18" s="236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1">
        <f t="shared" ref="AK20" si="15">((SUM(F20:AJ20))/8)-(SUMIF($F$6:$AJ$6,"C.Nhật",F20:AJ20)/8)</f>
        <v>25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25</v>
      </c>
      <c r="AO20" s="245">
        <v>0</v>
      </c>
      <c r="AP20" s="234"/>
      <c r="AQ20" s="234"/>
      <c r="AR20" s="234"/>
      <c r="AS20" s="236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AJ16:AJ21 AJ13:AJ14 F9:AJ10 F11:AI14">
    <cfRule type="expression" dxfId="50" priority="14" stopIfTrue="1">
      <formula>IF(WEEKDAY(F$5)=1,TRUE,FALSE)</formula>
    </cfRule>
  </conditionalFormatting>
  <conditionalFormatting sqref="AJ13:AJ14 F9:AJ10 F11:AI14">
    <cfRule type="expression" dxfId="49" priority="13" stopIfTrue="1">
      <formula>IF(WEEKDAY(F$5)=1,TRUE,FALSE)</formula>
    </cfRule>
  </conditionalFormatting>
  <conditionalFormatting sqref="AJ16:AJ21">
    <cfRule type="expression" dxfId="48" priority="12" stopIfTrue="1">
      <formula>IF(WEEKDAY(AJ$5)=1,TRUE,FALSE)</formula>
    </cfRule>
  </conditionalFormatting>
  <conditionalFormatting sqref="AJ16:AJ21">
    <cfRule type="expression" dxfId="47" priority="11" stopIfTrue="1">
      <formula>IF(WEEKDAY(AJ$5)=1,TRUE,FALSE)</formula>
    </cfRule>
  </conditionalFormatting>
  <conditionalFormatting sqref="AJ16:AJ21">
    <cfRule type="expression" dxfId="46" priority="9" stopIfTrue="1">
      <formula>IF(WEEKDAY(AJ$5)=1,TRUE,FALSE)</formula>
    </cfRule>
  </conditionalFormatting>
  <conditionalFormatting sqref="AJ16:AJ21">
    <cfRule type="expression" dxfId="45" priority="7" stopIfTrue="1">
      <formula>IF(WEEKDAY(AJ$5)=1,TRUE,FALSE)</formula>
    </cfRule>
  </conditionalFormatting>
  <conditionalFormatting sqref="AJ16:AJ21">
    <cfRule type="expression" dxfId="44" priority="6" stopIfTrue="1">
      <formula>IF(WEEKDAY(AJ$5)=1,TRUE,FALSE)</formula>
    </cfRule>
  </conditionalFormatting>
  <conditionalFormatting sqref="AJ16:AJ21">
    <cfRule type="expression" dxfId="43" priority="5" stopIfTrue="1">
      <formula>IF(WEEKDAY(AJ$5)=1,TRUE,FALSE)</formula>
    </cfRule>
  </conditionalFormatting>
  <conditionalFormatting sqref="AJ11:AJ12">
    <cfRule type="expression" dxfId="42" priority="4" stopIfTrue="1">
      <formula>IF(WEEKDAY(AJ$5)=1,TRUE,FALSE)</formula>
    </cfRule>
  </conditionalFormatting>
  <conditionalFormatting sqref="AJ11:AJ12">
    <cfRule type="expression" dxfId="41" priority="3" stopIfTrue="1">
      <formula>IF(WEEKDAY(AJ$5)=1,TRUE,FALSE)</formula>
    </cfRule>
  </conditionalFormatting>
  <conditionalFormatting sqref="F16:AI21">
    <cfRule type="expression" dxfId="40" priority="2" stopIfTrue="1">
      <formula>IF(WEEKDAY(F$5)=1,TRUE,FALSE)</formula>
    </cfRule>
  </conditionalFormatting>
  <conditionalFormatting sqref="F16:AI21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1" t="str">
        <f>"BẢNG THANH TOÁN LƯƠNG THÁNG"&amp;" "&amp;TEXT($E$4,"mm")&amp;" / "&amp;TEXT($E$4,"yyyy")</f>
        <v>BẢNG THANH TOÁN LƯƠNG THÁNG 09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02" t="s">
        <v>40</v>
      </c>
      <c r="G7" s="200" t="s">
        <v>18</v>
      </c>
      <c r="H7" s="202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-9'!$B$8:$AS$21,36,0)</f>
        <v>25</v>
      </c>
      <c r="G10" s="145">
        <f t="shared" ref="G10:G12" si="3">ROUND(E10/$U$2*F10,0)</f>
        <v>2100000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2100000</v>
      </c>
      <c r="L10" s="90">
        <f t="shared" ref="L10:L12" si="6">+F10*15000</f>
        <v>375000</v>
      </c>
      <c r="M10" s="40">
        <f t="shared" ref="M10:M12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2475000</v>
      </c>
      <c r="R10" s="39">
        <f>VLOOKUP(B10,DS,23,0)</f>
        <v>0</v>
      </c>
      <c r="S10" s="45">
        <f t="shared" ref="S10:S12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-9'!$B$8:$AS$21,36,0)</f>
        <v>25</v>
      </c>
      <c r="G11" s="145">
        <f t="shared" si="3"/>
        <v>1900000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1900000</v>
      </c>
      <c r="L11" s="90">
        <f t="shared" si="6"/>
        <v>375000</v>
      </c>
      <c r="M11" s="40">
        <f t="shared" si="7"/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2275000</v>
      </c>
      <c r="R11" s="39">
        <f>VLOOKUP(B11,DS,23,0)</f>
        <v>0</v>
      </c>
      <c r="S11" s="45">
        <f t="shared" si="9"/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-9'!$B$8:$AS$21,36,0)</f>
        <v>25</v>
      </c>
      <c r="G12" s="145">
        <f t="shared" si="3"/>
        <v>1900000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1900000</v>
      </c>
      <c r="L12" s="90">
        <f t="shared" si="6"/>
        <v>375000</v>
      </c>
      <c r="M12" s="40">
        <f t="shared" si="7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2275000</v>
      </c>
      <c r="R12" s="39">
        <f>VLOOKUP(B12,DS,23,0)</f>
        <v>0</v>
      </c>
      <c r="S12" s="45">
        <f t="shared" si="9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1125000</v>
      </c>
      <c r="M14" s="140">
        <f t="shared" si="10"/>
        <v>7025000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7025000</v>
      </c>
      <c r="R14" s="140">
        <f t="shared" si="10"/>
        <v>0</v>
      </c>
      <c r="S14" s="140">
        <f t="shared" si="10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1">
        <f>((SUM(F9:AJ9))/8)-(SUMIF($F$6:$AJ$6,"C.Nhật",F9:AJ9)/8)</f>
        <v>25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25</v>
      </c>
      <c r="AO9" s="245">
        <v>0</v>
      </c>
      <c r="AP9" s="234"/>
      <c r="AQ9" s="234"/>
      <c r="AR9" s="234"/>
      <c r="AS9" s="236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1">
        <f t="shared" ref="AK11" si="2">((SUM(F11:AJ11))/8)-(SUMIF($F$6:$AJ$6,"C.Nhật",F11:AJ11)/8)</f>
        <v>25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25</v>
      </c>
      <c r="AO11" s="245">
        <v>0</v>
      </c>
      <c r="AP11" s="234"/>
      <c r="AQ11" s="234"/>
      <c r="AR11" s="234"/>
      <c r="AS11" s="236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1">
        <f t="shared" ref="AK13" si="6">((SUM(F13:AJ13))/8)-(SUMIF($F$6:$AJ$6,"C.Nhật",F13:AJ13)/8)</f>
        <v>25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25</v>
      </c>
      <c r="AO13" s="245">
        <v>0</v>
      </c>
      <c r="AP13" s="234"/>
      <c r="AQ13" s="234"/>
      <c r="AR13" s="234"/>
      <c r="AS13" s="236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0"/>
      <c r="AL14" s="280"/>
      <c r="AM14" s="244"/>
      <c r="AN14" s="235"/>
      <c r="AO14" s="246"/>
      <c r="AP14" s="235"/>
      <c r="AQ14" s="235"/>
      <c r="AR14" s="235"/>
      <c r="AS14" s="237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1">
        <f t="shared" ref="AK16" si="9">((SUM(F16:AJ16))/8)-(SUMIF($F$6:$AJ$6,"C.Nhật",F16:AJ16)/8)</f>
        <v>25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25</v>
      </c>
      <c r="AO16" s="245">
        <v>0</v>
      </c>
      <c r="AP16" s="234"/>
      <c r="AQ16" s="234"/>
      <c r="AR16" s="234"/>
      <c r="AS16" s="236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1">
        <f t="shared" ref="AK18" si="11">((SUM(F18:AJ18))/8)-(SUMIF($F$6:$AJ$6,"C.Nhật",F18:AJ18)/8)</f>
        <v>25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25</v>
      </c>
      <c r="AO18" s="245">
        <v>0</v>
      </c>
      <c r="AP18" s="234"/>
      <c r="AQ18" s="234"/>
      <c r="AR18" s="234"/>
      <c r="AS18" s="236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1">
        <f t="shared" ref="AK20" si="15">((SUM(F20:AJ20))/8)-(SUMIF($F$6:$AJ$6,"C.Nhật",F20:AJ20)/8)</f>
        <v>25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25</v>
      </c>
      <c r="AO20" s="245">
        <v>0</v>
      </c>
      <c r="AP20" s="234"/>
      <c r="AQ20" s="234"/>
      <c r="AR20" s="234"/>
      <c r="AS20" s="236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S13:AS14"/>
    <mergeCell ref="AR13:AR14"/>
    <mergeCell ref="AQ13:AQ14"/>
    <mergeCell ref="AP13:AP14"/>
    <mergeCell ref="AL13:AL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K13:AK14"/>
    <mergeCell ref="D13:D14"/>
    <mergeCell ref="C13:C14"/>
    <mergeCell ref="B13:B14"/>
    <mergeCell ref="A13:A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38" priority="16" stopIfTrue="1">
      <formula>IF(WEEKDAY(F$5)=1,TRUE,FALSE)</formula>
    </cfRule>
  </conditionalFormatting>
  <conditionalFormatting sqref="F9:AJ14">
    <cfRule type="expression" dxfId="37" priority="15" stopIfTrue="1">
      <formula>IF(WEEKDAY(F$5)=1,TRUE,FALSE)</formula>
    </cfRule>
  </conditionalFormatting>
  <conditionalFormatting sqref="F16:AJ19">
    <cfRule type="expression" dxfId="36" priority="4" stopIfTrue="1">
      <formula>IF(WEEKDAY(F$5)=1,TRUE,FALSE)</formula>
    </cfRule>
  </conditionalFormatting>
  <conditionalFormatting sqref="F16:AJ19">
    <cfRule type="expression" dxfId="35" priority="3" stopIfTrue="1">
      <formula>IF(WEEKDAY(F$5)=1,TRUE,FALSE)</formula>
    </cfRule>
  </conditionalFormatting>
  <conditionalFormatting sqref="F20:AJ21">
    <cfRule type="expression" dxfId="34" priority="2" stopIfTrue="1">
      <formula>IF(WEEKDAY(F$5)=1,TRUE,FALSE)</formula>
    </cfRule>
  </conditionalFormatting>
  <conditionalFormatting sqref="F20:AJ21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1" t="str">
        <f>"BẢNG THANH TOÁN LƯƠNG THÁNG"&amp;" "&amp;TEXT($E$4,"mm")&amp;" / "&amp;TEXT($E$4,"yyyy")</f>
        <v>BẢNG THANH TOÁN LƯƠNG THÁNG 10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19" t="s">
        <v>40</v>
      </c>
      <c r="G7" s="216" t="s">
        <v>18</v>
      </c>
      <c r="H7" s="219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-10'!$B$8:$AS$21,36,0)</f>
        <v>25</v>
      </c>
      <c r="G10" s="145">
        <f t="shared" ref="G10:G12" si="3">ROUND(E10/$U$2*F10,0)</f>
        <v>2019231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2019231</v>
      </c>
      <c r="L10" s="90">
        <f t="shared" ref="L10:L11" si="6">+F10*15000</f>
        <v>375000</v>
      </c>
      <c r="M10" s="40">
        <f t="shared" ref="M10:M12" si="7">K10+L10</f>
        <v>2394231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2394231</v>
      </c>
      <c r="R10" s="39">
        <f>VLOOKUP(B10,DS,23,0)</f>
        <v>0</v>
      </c>
      <c r="S10" s="45">
        <f t="shared" ref="S10:S12" si="9">Q10-R10</f>
        <v>2394231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-10'!$B$8:$AS$21,36,0)</f>
        <v>25</v>
      </c>
      <c r="G11" s="145">
        <f t="shared" si="3"/>
        <v>1826923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1826923</v>
      </c>
      <c r="L11" s="90">
        <f t="shared" si="6"/>
        <v>375000</v>
      </c>
      <c r="M11" s="40">
        <f t="shared" si="7"/>
        <v>2201923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2201923</v>
      </c>
      <c r="R11" s="39">
        <f>VLOOKUP(B11,DS,23,0)</f>
        <v>0</v>
      </c>
      <c r="S11" s="45">
        <f t="shared" si="9"/>
        <v>2201923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-10'!$B$8:$AS$21,36,0)</f>
        <v>25</v>
      </c>
      <c r="G12" s="145">
        <f t="shared" si="3"/>
        <v>1826923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1826923</v>
      </c>
      <c r="L12" s="90">
        <v>277500</v>
      </c>
      <c r="M12" s="40">
        <f t="shared" si="7"/>
        <v>2104423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2104423</v>
      </c>
      <c r="R12" s="39">
        <f>VLOOKUP(B12,DS,23,0)</f>
        <v>0</v>
      </c>
      <c r="S12" s="45">
        <f t="shared" si="9"/>
        <v>2104423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5900000</v>
      </c>
      <c r="F14" s="140"/>
      <c r="G14" s="140">
        <f>SUM(G9:G12)</f>
        <v>5673077</v>
      </c>
      <c r="H14" s="140"/>
      <c r="I14" s="140">
        <f>SUM(I9:I12)</f>
        <v>0</v>
      </c>
      <c r="J14" s="140"/>
      <c r="K14" s="140">
        <f>SUM(K9:K12)</f>
        <v>5673077</v>
      </c>
      <c r="L14" s="140">
        <f>SUM(L9:L12)</f>
        <v>1027500</v>
      </c>
      <c r="M14" s="140">
        <f>SUM(M9:M12)</f>
        <v>6700577</v>
      </c>
      <c r="N14" s="140">
        <f>SUM(N9:N12)</f>
        <v>0</v>
      </c>
      <c r="O14" s="140">
        <f>SUM(O9:O12)</f>
        <v>0</v>
      </c>
      <c r="P14" s="140">
        <f>SUM(P9:P12)</f>
        <v>0</v>
      </c>
      <c r="Q14" s="140">
        <f>SUM(Q9:Q12)</f>
        <v>6700577</v>
      </c>
      <c r="R14" s="140">
        <f>SUM(R9:R12)</f>
        <v>0</v>
      </c>
      <c r="S14" s="140">
        <f>SUM(S9:S12)</f>
        <v>6700577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0">VLOOKUP(B16,DS,2,0)</f>
        <v>Nguyễn Trường Giang</v>
      </c>
      <c r="D16" s="116" t="str">
        <f t="shared" ref="D16:D18" si="11">VLOOKUP(B16,DS,3,0)</f>
        <v>Thợ in</v>
      </c>
      <c r="E16" s="90">
        <f t="shared" ref="E16:E18" si="12">VLOOKUP(B16,DS,4,0)</f>
        <v>1800000</v>
      </c>
      <c r="F16" s="92">
        <f>VLOOKUP(B16,'CC -10'!$B$8:$AS$21,36,0)</f>
        <v>25</v>
      </c>
      <c r="G16" s="145">
        <f t="shared" ref="G16:G18" si="13">ROUND(E16/$U$2*F16,0)</f>
        <v>1730769</v>
      </c>
      <c r="H16" s="92">
        <f>(VLOOKUP(B16,'CC -10'!$B$8:$AS$21,37,0)+VLOOKUP(B16,'CC -10'!$B$8:$AS$21,38,0))</f>
        <v>0</v>
      </c>
      <c r="I16" s="145">
        <f t="shared" ref="I16:I18" si="14">ROUND(E16/$U$2*H16,0)</f>
        <v>0</v>
      </c>
      <c r="J16" s="146">
        <f t="shared" ref="J16:K18" si="15">F16+H16</f>
        <v>25</v>
      </c>
      <c r="K16" s="39">
        <f t="shared" si="15"/>
        <v>1730769</v>
      </c>
      <c r="L16" s="90">
        <f t="shared" ref="L16:L18" si="16">+F16*15000</f>
        <v>375000</v>
      </c>
      <c r="M16" s="40">
        <f t="shared" ref="M16:M18" si="17">K16+L16</f>
        <v>2105769</v>
      </c>
      <c r="N16" s="40">
        <f>IF(VLOOKUP(B16,DS,9,0)="x",'L - 10'!E16*$N$4,0)</f>
        <v>0</v>
      </c>
      <c r="O16" s="40">
        <f t="shared" ref="O16:O18" si="18">IF(VLOOKUP(B16,DS,9,0)="x",E16*0.015,0)</f>
        <v>0</v>
      </c>
      <c r="P16" s="40">
        <f t="shared" ref="P16:P18" si="19">IF(VLOOKUP(B16,DS,9,0)="x",E16*0.01,0)</f>
        <v>0</v>
      </c>
      <c r="Q16" s="39">
        <f>M16-SUM(N16:P16)</f>
        <v>2105769</v>
      </c>
      <c r="R16" s="39">
        <f t="shared" ref="R16:R18" si="20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0"/>
        <v>Đoàn Hồng Phong</v>
      </c>
      <c r="D17" s="116" t="str">
        <f t="shared" si="11"/>
        <v>Thợ đóng - xả</v>
      </c>
      <c r="E17" s="90">
        <f t="shared" si="12"/>
        <v>1800000</v>
      </c>
      <c r="F17" s="92">
        <f>VLOOKUP(B17,'CC -10'!$B$8:$AS$21,36,0)</f>
        <v>25</v>
      </c>
      <c r="G17" s="145">
        <f t="shared" si="13"/>
        <v>1730769</v>
      </c>
      <c r="H17" s="92">
        <f>(VLOOKUP(B17,'CC -10'!$B$8:$AS$21,37,0)+VLOOKUP(B17,'CC -10'!$B$8:$AS$21,38,0))</f>
        <v>0</v>
      </c>
      <c r="I17" s="145">
        <f t="shared" si="14"/>
        <v>0</v>
      </c>
      <c r="J17" s="146">
        <f t="shared" si="15"/>
        <v>25</v>
      </c>
      <c r="K17" s="39">
        <f t="shared" si="15"/>
        <v>1730769</v>
      </c>
      <c r="L17" s="90">
        <f t="shared" si="16"/>
        <v>375000</v>
      </c>
      <c r="M17" s="40">
        <f t="shared" si="17"/>
        <v>2105769</v>
      </c>
      <c r="N17" s="40">
        <f>IF(VLOOKUP(B17,DS,9,0)="x",'L - 10'!E17*$N$4,0)</f>
        <v>0</v>
      </c>
      <c r="O17" s="40">
        <f t="shared" si="18"/>
        <v>0</v>
      </c>
      <c r="P17" s="40">
        <f t="shared" si="19"/>
        <v>0</v>
      </c>
      <c r="Q17" s="39">
        <f t="shared" ref="Q17:Q18" si="21">M17-SUM(N17:P17)</f>
        <v>2105769</v>
      </c>
      <c r="R17" s="39">
        <f t="shared" si="20"/>
        <v>0</v>
      </c>
      <c r="S17" s="45">
        <f t="shared" ref="S17:S18" si="22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0"/>
        <v>Trần Hữu Tình</v>
      </c>
      <c r="D18" s="116" t="str">
        <f t="shared" si="11"/>
        <v>Công nhân</v>
      </c>
      <c r="E18" s="90">
        <f t="shared" si="12"/>
        <v>1500000</v>
      </c>
      <c r="F18" s="92">
        <f>VLOOKUP(B18,'CC -10'!$B$8:$AS$21,36,0)</f>
        <v>25</v>
      </c>
      <c r="G18" s="145">
        <f t="shared" si="13"/>
        <v>1442308</v>
      </c>
      <c r="H18" s="92">
        <f>(VLOOKUP(B18,'CC -10'!$B$8:$AS$21,37,0)+VLOOKUP(B18,'CC -10'!$B$8:$AS$21,38,0))</f>
        <v>0</v>
      </c>
      <c r="I18" s="145">
        <f t="shared" si="14"/>
        <v>0</v>
      </c>
      <c r="J18" s="146">
        <f t="shared" si="15"/>
        <v>25</v>
      </c>
      <c r="K18" s="39">
        <f t="shared" si="15"/>
        <v>1442308</v>
      </c>
      <c r="L18" s="90">
        <f t="shared" si="16"/>
        <v>375000</v>
      </c>
      <c r="M18" s="40">
        <f t="shared" si="17"/>
        <v>1817308</v>
      </c>
      <c r="N18" s="40">
        <f>IF(VLOOKUP(B18,DS,9,0)="x",'L - 10'!E18*$N$4,0)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1817308</v>
      </c>
      <c r="R18" s="39">
        <f t="shared" si="20"/>
        <v>0</v>
      </c>
      <c r="S18" s="45">
        <f t="shared" si="22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3">SUM(K15:K19)</f>
        <v>4903846</v>
      </c>
      <c r="L20" s="140">
        <f t="shared" si="23"/>
        <v>1125000</v>
      </c>
      <c r="M20" s="140">
        <f t="shared" si="23"/>
        <v>6028846</v>
      </c>
      <c r="N20" s="140">
        <f t="shared" si="23"/>
        <v>0</v>
      </c>
      <c r="O20" s="140">
        <f t="shared" si="23"/>
        <v>0</v>
      </c>
      <c r="P20" s="140">
        <f t="shared" si="23"/>
        <v>0</v>
      </c>
      <c r="Q20" s="140">
        <f t="shared" si="23"/>
        <v>6028846</v>
      </c>
      <c r="R20" s="140">
        <f t="shared" si="23"/>
        <v>0</v>
      </c>
      <c r="S20" s="140">
        <f t="shared" si="23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N14" sqref="N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41">
        <f>((SUM(F9:AJ9))/8)-(SUMIF($F$6:$AJ$6,"C.Nhật",F9:AJ9)/8)</f>
        <v>26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26</v>
      </c>
      <c r="AO9" s="245">
        <v>0</v>
      </c>
      <c r="AP9" s="234"/>
      <c r="AQ9" s="234"/>
      <c r="AR9" s="234"/>
      <c r="AS9" s="236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26</v>
      </c>
      <c r="AO11" s="245">
        <v>0</v>
      </c>
      <c r="AP11" s="234"/>
      <c r="AQ11" s="234"/>
      <c r="AR11" s="234"/>
      <c r="AS11" s="236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v>3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/>
      <c r="AK13" s="241">
        <f t="shared" ref="AK13" si="6">((SUM(F13:AJ13))/8)-(SUMIF($F$6:$AJ$6,"C.Nhật",F13:AJ13)/8)</f>
        <v>26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26</v>
      </c>
      <c r="AO13" s="245">
        <v>0</v>
      </c>
      <c r="AP13" s="234"/>
      <c r="AQ13" s="234"/>
      <c r="AR13" s="234"/>
      <c r="AS13" s="236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41">
        <f t="shared" ref="AK16" si="9">((SUM(F16:AJ16))/8)-(SUMIF($F$6:$AJ$6,"C.Nhật",F16:AJ16)/8)</f>
        <v>26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26</v>
      </c>
      <c r="AO16" s="245">
        <v>0</v>
      </c>
      <c r="AP16" s="234"/>
      <c r="AQ16" s="234"/>
      <c r="AR16" s="234"/>
      <c r="AS16" s="236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41">
        <f t="shared" ref="AK18" si="11">((SUM(F18:AJ18))/8)-(SUMIF($F$6:$AJ$6,"C.Nhật",F18:AJ18)/8)</f>
        <v>26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26</v>
      </c>
      <c r="AO18" s="245">
        <v>0</v>
      </c>
      <c r="AP18" s="234"/>
      <c r="AQ18" s="234"/>
      <c r="AR18" s="234"/>
      <c r="AS18" s="236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41">
        <f t="shared" ref="AK20" si="15">((SUM(F20:AJ20))/8)-(SUMIF($F$6:$AJ$6,"C.Nhật",F20:AJ20)/8)</f>
        <v>26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26</v>
      </c>
      <c r="AO20" s="245">
        <v>0</v>
      </c>
      <c r="AP20" s="234"/>
      <c r="AQ20" s="234"/>
      <c r="AR20" s="234"/>
      <c r="AS20" s="236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Q13:AQ14"/>
    <mergeCell ref="AR13:AR14"/>
    <mergeCell ref="AS13:AS14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19 F9:AJ10 F11:AI12">
    <cfRule type="expression" dxfId="32" priority="27" stopIfTrue="1">
      <formula>IF(WEEKDAY(F$5)=1,TRUE,FALSE)</formula>
    </cfRule>
  </conditionalFormatting>
  <conditionalFormatting sqref="F9:AJ10 F11:AI12">
    <cfRule type="expression" dxfId="31" priority="26" stopIfTrue="1">
      <formula>IF(WEEKDAY(F$5)=1,TRUE,FALSE)</formula>
    </cfRule>
  </conditionalFormatting>
  <conditionalFormatting sqref="AJ16:AJ19">
    <cfRule type="expression" dxfId="30" priority="25" stopIfTrue="1">
      <formula>IF(WEEKDAY(AJ$5)=1,TRUE,FALSE)</formula>
    </cfRule>
  </conditionalFormatting>
  <conditionalFormatting sqref="AJ16:AJ19">
    <cfRule type="expression" dxfId="29" priority="24" stopIfTrue="1">
      <formula>IF(WEEKDAY(AJ$5)=1,TRUE,FALSE)</formula>
    </cfRule>
  </conditionalFormatting>
  <conditionalFormatting sqref="AJ16:AJ19">
    <cfRule type="expression" dxfId="28" priority="23" stopIfTrue="1">
      <formula>IF(WEEKDAY(AJ$5)=1,TRUE,FALSE)</formula>
    </cfRule>
  </conditionalFormatting>
  <conditionalFormatting sqref="AJ16:AJ19">
    <cfRule type="expression" dxfId="27" priority="22" stopIfTrue="1">
      <formula>IF(WEEKDAY(AJ$5)=1,TRUE,FALSE)</formula>
    </cfRule>
  </conditionalFormatting>
  <conditionalFormatting sqref="AJ16:AJ19">
    <cfRule type="expression" dxfId="26" priority="21" stopIfTrue="1">
      <formula>IF(WEEKDAY(AJ$5)=1,TRUE,FALSE)</formula>
    </cfRule>
  </conditionalFormatting>
  <conditionalFormatting sqref="AJ16:AJ19">
    <cfRule type="expression" dxfId="25" priority="20" stopIfTrue="1">
      <formula>IF(WEEKDAY(AJ$5)=1,TRUE,FALSE)</formula>
    </cfRule>
  </conditionalFormatting>
  <conditionalFormatting sqref="AJ11:AJ12">
    <cfRule type="expression" dxfId="24" priority="19" stopIfTrue="1">
      <formula>IF(WEEKDAY(AJ$5)=1,TRUE,FALSE)</formula>
    </cfRule>
  </conditionalFormatting>
  <conditionalFormatting sqref="AJ11:AJ12">
    <cfRule type="expression" dxfId="23" priority="18" stopIfTrue="1">
      <formula>IF(WEEKDAY(AJ$5)=1,TRUE,FALSE)</formula>
    </cfRule>
  </conditionalFormatting>
  <conditionalFormatting sqref="F16:AI19">
    <cfRule type="expression" dxfId="22" priority="15" stopIfTrue="1">
      <formula>IF(WEEKDAY(F$5)=1,TRUE,FALSE)</formula>
    </cfRule>
  </conditionalFormatting>
  <conditionalFormatting sqref="F16:AI19">
    <cfRule type="expression" dxfId="21" priority="14" stopIfTrue="1">
      <formula>IF(WEEKDAY(F$5)=1,TRUE,FALSE)</formula>
    </cfRule>
  </conditionalFormatting>
  <conditionalFormatting sqref="F20:AI21">
    <cfRule type="expression" dxfId="20" priority="6" stopIfTrue="1">
      <formula>IF(WEEKDAY(F$5)=1,TRUE,FALSE)</formula>
    </cfRule>
  </conditionalFormatting>
  <conditionalFormatting sqref="F20:AI21">
    <cfRule type="expression" dxfId="19" priority="5" stopIfTrue="1">
      <formula>IF(WEEKDAY(F$5)=1,TRUE,FALSE)</formula>
    </cfRule>
  </conditionalFormatting>
  <conditionalFormatting sqref="AJ20:AJ21">
    <cfRule type="expression" dxfId="18" priority="13" stopIfTrue="1">
      <formula>IF(WEEKDAY(AJ$5)=1,TRUE,FALSE)</formula>
    </cfRule>
  </conditionalFormatting>
  <conditionalFormatting sqref="AJ20:AJ21">
    <cfRule type="expression" dxfId="17" priority="12" stopIfTrue="1">
      <formula>IF(WEEKDAY(AJ$5)=1,TRUE,FALSE)</formula>
    </cfRule>
  </conditionalFormatting>
  <conditionalFormatting sqref="AJ20:AJ21">
    <cfRule type="expression" dxfId="16" priority="11" stopIfTrue="1">
      <formula>IF(WEEKDAY(AJ$5)=1,TRUE,FALSE)</formula>
    </cfRule>
  </conditionalFormatting>
  <conditionalFormatting sqref="AJ20:AJ21">
    <cfRule type="expression" dxfId="15" priority="10" stopIfTrue="1">
      <formula>IF(WEEKDAY(AJ$5)=1,TRUE,FALSE)</formula>
    </cfRule>
  </conditionalFormatting>
  <conditionalFormatting sqref="AJ20:AJ21">
    <cfRule type="expression" dxfId="14" priority="9" stopIfTrue="1">
      <formula>IF(WEEKDAY(AJ$5)=1,TRUE,FALSE)</formula>
    </cfRule>
  </conditionalFormatting>
  <conditionalFormatting sqref="AJ20:AJ21">
    <cfRule type="expression" dxfId="13" priority="8" stopIfTrue="1">
      <formula>IF(WEEKDAY(AJ$5)=1,TRUE,FALSE)</formula>
    </cfRule>
  </conditionalFormatting>
  <conditionalFormatting sqref="AJ20:AJ21">
    <cfRule type="expression" dxfId="12" priority="7" stopIfTrue="1">
      <formula>IF(WEEKDAY(AJ$5)=1,TRUE,FALSE)</formula>
    </cfRule>
  </conditionalFormatting>
  <conditionalFormatting sqref="F13:AI14">
    <cfRule type="expression" dxfId="11" priority="4" stopIfTrue="1">
      <formula>IF(WEEKDAY(F$5)=1,TRUE,FALSE)</formula>
    </cfRule>
  </conditionalFormatting>
  <conditionalFormatting sqref="F13:AI14">
    <cfRule type="expression" dxfId="10" priority="3" stopIfTrue="1">
      <formula>IF(WEEKDAY(F$5)=1,TRUE,FALSE)</formula>
    </cfRule>
  </conditionalFormatting>
  <conditionalFormatting sqref="AJ13:AJ14">
    <cfRule type="expression" dxfId="9" priority="2" stopIfTrue="1">
      <formula>IF(WEEKDAY(AJ$5)=1,TRUE,FALSE)</formula>
    </cfRule>
  </conditionalFormatting>
  <conditionalFormatting sqref="AJ13:AJ14">
    <cfRule type="expression" dxfId="8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1" t="str">
        <f>"BẢNG THANH TOÁN LƯƠNG THÁNG"&amp;" "&amp;TEXT($E$4,"mm")&amp;" / "&amp;TEXT($E$4,"yyyy")</f>
        <v>BẢNG THANH TOÁN LƯƠNG THÁNG 11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19" t="s">
        <v>40</v>
      </c>
      <c r="G7" s="216" t="s">
        <v>18</v>
      </c>
      <c r="H7" s="219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-11'!$B$8:$AS$21,36,0)</f>
        <v>26</v>
      </c>
      <c r="G10" s="145">
        <f t="shared" ref="G10:G11" si="3">ROUND(E10/$U$2*F10,0)</f>
        <v>2100000</v>
      </c>
      <c r="H10" s="92">
        <f>(VLOOKUP(B10,'CC -11'!$B$8:$AS$21,37,0)+VLOOKUP(B10,'CC -11'!$B$8:$AS$21,38,0))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2100000</v>
      </c>
      <c r="L10" s="90">
        <f t="shared" ref="L10:L11" si="6">+F10*15000</f>
        <v>390000</v>
      </c>
      <c r="M10" s="40">
        <f t="shared" ref="M10:M11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2490000</v>
      </c>
      <c r="R10" s="39">
        <f>VLOOKUP(B10,DS,23,0)</f>
        <v>0</v>
      </c>
      <c r="S10" s="45">
        <f t="shared" ref="S10:S11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-11'!$B$8:$AS$21,36,0)</f>
        <v>26</v>
      </c>
      <c r="G11" s="145">
        <f t="shared" si="3"/>
        <v>1900000</v>
      </c>
      <c r="H11" s="92">
        <f>(VLOOKUP(B11,'CC -11'!$B$8:$AS$21,37,0)+VLOOKUP(B11,'CC -11'!$B$8:$AS$21,38,0))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1900000</v>
      </c>
      <c r="F12" s="92">
        <f>VLOOKUP(B12,'CC -11'!$B$8:$AS$21,36,0)</f>
        <v>26</v>
      </c>
      <c r="G12" s="145">
        <f t="shared" ref="G12" si="13">ROUND(E12/$U$2*F12,0)</f>
        <v>1900000</v>
      </c>
      <c r="H12" s="92">
        <f>(VLOOKUP(B12,'CC -11'!$B$8:$AS$21,37,0)+VLOOKUP(B12,'CC -11'!$B$8:$AS$21,38,0))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1900000</v>
      </c>
      <c r="L12" s="90">
        <f t="shared" ref="L12" si="17">+F12*15000</f>
        <v>390000</v>
      </c>
      <c r="M12" s="40">
        <f t="shared" ref="M12" si="18">K12+L12</f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9">M12-SUM(N12:P12)</f>
        <v>2290000</v>
      </c>
      <c r="R12" s="39">
        <f>VLOOKUP(B12,DS,23,0)</f>
        <v>0</v>
      </c>
      <c r="S12" s="45">
        <f t="shared" ref="S12" si="20">Q12-R12</f>
        <v>2290000</v>
      </c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SUM(E9:E13)</f>
        <v>5900000</v>
      </c>
      <c r="F14" s="140"/>
      <c r="G14" s="140">
        <f t="shared" ref="F14:M14" si="21">SUM(G9:G13)</f>
        <v>5900000</v>
      </c>
      <c r="H14" s="140"/>
      <c r="I14" s="140">
        <f t="shared" si="21"/>
        <v>0</v>
      </c>
      <c r="J14" s="140"/>
      <c r="K14" s="140">
        <f t="shared" si="21"/>
        <v>5900000</v>
      </c>
      <c r="L14" s="140">
        <f t="shared" ref="L14" si="22">SUM(L9:L13)</f>
        <v>1170000</v>
      </c>
      <c r="M14" s="140">
        <f t="shared" ref="M14" si="23">SUM(M9:M13)</f>
        <v>7070000</v>
      </c>
      <c r="N14" s="140">
        <f t="shared" ref="N14" si="24">SUM(N9:N13)</f>
        <v>0</v>
      </c>
      <c r="O14" s="140">
        <f t="shared" ref="O14" si="25">SUM(O9:O13)</f>
        <v>0</v>
      </c>
      <c r="P14" s="140">
        <f t="shared" ref="P14" si="26">SUM(P9:P13)</f>
        <v>0</v>
      </c>
      <c r="Q14" s="140">
        <f t="shared" ref="Q14" si="27">SUM(Q9:Q13)</f>
        <v>7070000</v>
      </c>
      <c r="R14" s="140">
        <f t="shared" ref="R14" si="28">SUM(R9:R13)</f>
        <v>0</v>
      </c>
      <c r="S14" s="140">
        <f t="shared" ref="S14" si="29">SUM(S9:S13)</f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30">VLOOKUP(B16,DS,2,0)</f>
        <v>Nguyễn Trường Giang</v>
      </c>
      <c r="D16" s="116" t="str">
        <f t="shared" ref="D16:D18" si="31">VLOOKUP(B16,DS,3,0)</f>
        <v>Thợ in</v>
      </c>
      <c r="E16" s="90">
        <f t="shared" ref="E16:E18" si="32">VLOOKUP(B16,DS,4,0)</f>
        <v>1800000</v>
      </c>
      <c r="F16" s="92">
        <f>VLOOKUP(B16,'CC -11'!$B$8:$AS$21,36,0)</f>
        <v>26</v>
      </c>
      <c r="G16" s="145">
        <f t="shared" ref="G16:G18" si="33">ROUND(E16/$U$2*F16,0)</f>
        <v>1800000</v>
      </c>
      <c r="H16" s="92">
        <f>(VLOOKUP(B16,'CC -11'!$B$8:$AS$21,37,0)+VLOOKUP(B16,'CC -11'!$B$8:$AS$21,38,0))</f>
        <v>0</v>
      </c>
      <c r="I16" s="145">
        <f t="shared" ref="I16:I18" si="34">ROUND(E16/$U$2*H16,0)</f>
        <v>0</v>
      </c>
      <c r="J16" s="146">
        <f t="shared" ref="J16:K18" si="35">F16+H16</f>
        <v>26</v>
      </c>
      <c r="K16" s="39">
        <f t="shared" si="35"/>
        <v>1800000</v>
      </c>
      <c r="L16" s="90">
        <f t="shared" ref="L16:L18" si="36">+F16*15000</f>
        <v>390000</v>
      </c>
      <c r="M16" s="40">
        <f t="shared" ref="M16:M18" si="37">K16+L16</f>
        <v>2190000</v>
      </c>
      <c r="N16" s="40">
        <f>IF(VLOOKUP(B16,DS,9,0)="x",'L - 11'!E16*$N$4,0)</f>
        <v>0</v>
      </c>
      <c r="O16" s="40">
        <f t="shared" ref="O16:O18" si="38">IF(VLOOKUP(B16,DS,9,0)="x",E16*0.015,0)</f>
        <v>0</v>
      </c>
      <c r="P16" s="40">
        <f t="shared" ref="P16:P18" si="39">IF(VLOOKUP(B16,DS,9,0)="x",E16*0.01,0)</f>
        <v>0</v>
      </c>
      <c r="Q16" s="39">
        <f>M16-SUM(N16:P16)</f>
        <v>2190000</v>
      </c>
      <c r="R16" s="39">
        <f t="shared" ref="R16:R18" si="40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30"/>
        <v>Đoàn Hồng Phong</v>
      </c>
      <c r="D17" s="116" t="str">
        <f t="shared" si="31"/>
        <v>Thợ đóng - xả</v>
      </c>
      <c r="E17" s="90">
        <f t="shared" si="32"/>
        <v>1800000</v>
      </c>
      <c r="F17" s="92">
        <f>VLOOKUP(B17,'CC -11'!$B$8:$AS$21,36,0)</f>
        <v>26</v>
      </c>
      <c r="G17" s="145">
        <f t="shared" si="33"/>
        <v>1800000</v>
      </c>
      <c r="H17" s="92">
        <f>(VLOOKUP(B17,'CC -11'!$B$8:$AS$21,37,0)+VLOOKUP(B17,'CC -11'!$B$8:$AS$21,38,0))</f>
        <v>0</v>
      </c>
      <c r="I17" s="145">
        <f t="shared" si="34"/>
        <v>0</v>
      </c>
      <c r="J17" s="146">
        <f t="shared" si="35"/>
        <v>26</v>
      </c>
      <c r="K17" s="39">
        <f t="shared" si="35"/>
        <v>1800000</v>
      </c>
      <c r="L17" s="90">
        <f t="shared" si="36"/>
        <v>390000</v>
      </c>
      <c r="M17" s="40">
        <f t="shared" si="37"/>
        <v>2190000</v>
      </c>
      <c r="N17" s="40">
        <f>IF(VLOOKUP(B17,DS,9,0)="x",'L - 11'!E17*$N$4,0)</f>
        <v>0</v>
      </c>
      <c r="O17" s="40">
        <f t="shared" si="38"/>
        <v>0</v>
      </c>
      <c r="P17" s="40">
        <f t="shared" si="39"/>
        <v>0</v>
      </c>
      <c r="Q17" s="39">
        <f t="shared" ref="Q17:Q18" si="41">M17-SUM(N17:P17)</f>
        <v>2190000</v>
      </c>
      <c r="R17" s="39">
        <f t="shared" si="40"/>
        <v>0</v>
      </c>
      <c r="S17" s="45">
        <f t="shared" ref="S17:S18" si="42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0"/>
        <v>Trần Hữu Tình</v>
      </c>
      <c r="D18" s="116" t="str">
        <f t="shared" si="31"/>
        <v>Công nhân</v>
      </c>
      <c r="E18" s="90">
        <f t="shared" si="32"/>
        <v>1500000</v>
      </c>
      <c r="F18" s="92">
        <f>VLOOKUP(B18,'CC -11'!$B$8:$AS$21,36,0)</f>
        <v>26</v>
      </c>
      <c r="G18" s="145">
        <f t="shared" si="33"/>
        <v>1500000</v>
      </c>
      <c r="H18" s="92">
        <f>(VLOOKUP(B18,'CC -11'!$B$8:$AS$21,37,0)+VLOOKUP(B18,'CC -11'!$B$8:$AS$21,38,0))</f>
        <v>0</v>
      </c>
      <c r="I18" s="145">
        <f t="shared" si="34"/>
        <v>0</v>
      </c>
      <c r="J18" s="146">
        <f t="shared" si="35"/>
        <v>26</v>
      </c>
      <c r="K18" s="39">
        <f t="shared" si="35"/>
        <v>1500000</v>
      </c>
      <c r="L18" s="90">
        <f t="shared" si="36"/>
        <v>390000</v>
      </c>
      <c r="M18" s="40">
        <f t="shared" si="37"/>
        <v>1890000</v>
      </c>
      <c r="N18" s="40">
        <f>IF(VLOOKUP(B18,DS,9,0)="x",'L - 11'!E18*$N$4,0)</f>
        <v>0</v>
      </c>
      <c r="O18" s="40">
        <f t="shared" si="38"/>
        <v>0</v>
      </c>
      <c r="P18" s="40">
        <f t="shared" si="39"/>
        <v>0</v>
      </c>
      <c r="Q18" s="39">
        <f t="shared" si="41"/>
        <v>1890000</v>
      </c>
      <c r="R18" s="39">
        <f t="shared" si="40"/>
        <v>0</v>
      </c>
      <c r="S18" s="45">
        <f t="shared" si="42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>SUM(G15:G19)</f>
        <v>5100000</v>
      </c>
      <c r="H20" s="140"/>
      <c r="I20" s="140">
        <f>SUM(I15:I19)</f>
        <v>0</v>
      </c>
      <c r="J20" s="140"/>
      <c r="K20" s="140">
        <f t="shared" ref="K20:S20" si="43">SUM(K15:K19)</f>
        <v>5100000</v>
      </c>
      <c r="L20" s="140">
        <f t="shared" si="43"/>
        <v>1170000</v>
      </c>
      <c r="M20" s="140">
        <f t="shared" si="43"/>
        <v>6270000</v>
      </c>
      <c r="N20" s="140">
        <f t="shared" si="43"/>
        <v>0</v>
      </c>
      <c r="O20" s="140">
        <f t="shared" si="43"/>
        <v>0</v>
      </c>
      <c r="P20" s="140">
        <f t="shared" si="43"/>
        <v>0</v>
      </c>
      <c r="Q20" s="140">
        <f t="shared" si="43"/>
        <v>6270000</v>
      </c>
      <c r="R20" s="140">
        <f t="shared" si="43"/>
        <v>0</v>
      </c>
      <c r="S20" s="140">
        <f t="shared" si="43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11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W10:W13 AF5:IK13 A10:B14 Q10:S13" name="Range1"/>
    <protectedRange password="CC78" sqref="F7:H7" name="Range1_4"/>
    <protectedRange password="CC78" sqref="V23:IK24 S23:T24 N23:Q24 E23:I24" name="Range1_1_1"/>
    <protectedRange password="CC78" sqref="U1 W1:IK3 V4:IK4 B4:T4 R2:S3 B1:Q3 U19:U31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B14" sqref="A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8" t="s">
        <v>185</v>
      </c>
      <c r="AN1" s="239"/>
      <c r="AO1" s="239"/>
      <c r="AP1" s="239"/>
      <c r="AQ1" s="239"/>
      <c r="AR1" s="239"/>
      <c r="AS1" s="24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6" t="s">
        <v>28</v>
      </c>
      <c r="B5" s="256" t="s">
        <v>3</v>
      </c>
      <c r="C5" s="256" t="s">
        <v>1</v>
      </c>
      <c r="D5" s="258" t="s">
        <v>29</v>
      </c>
      <c r="E5" s="256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3" t="s">
        <v>15</v>
      </c>
      <c r="AL5" s="254"/>
      <c r="AM5" s="255"/>
      <c r="AN5" s="259" t="s">
        <v>45</v>
      </c>
      <c r="AO5" s="259" t="s">
        <v>41</v>
      </c>
      <c r="AP5" s="259" t="s">
        <v>42</v>
      </c>
      <c r="AQ5" s="259" t="s">
        <v>43</v>
      </c>
      <c r="AR5" s="259" t="s">
        <v>44</v>
      </c>
      <c r="AS5" s="258" t="s">
        <v>0</v>
      </c>
      <c r="AT5" s="2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7"/>
      <c r="B6" s="257"/>
      <c r="C6" s="257"/>
      <c r="D6" s="257"/>
      <c r="E6" s="25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0"/>
      <c r="AO6" s="260"/>
      <c r="AP6" s="260"/>
      <c r="AQ6" s="260"/>
      <c r="AR6" s="260"/>
      <c r="AS6" s="257"/>
      <c r="AT6" s="2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1">
        <f>((SUM(F9:AJ9))/8)-(SUMIF($F$6:$AJ$6,"C.Nhật",F9:AJ9)/8)</f>
        <v>26</v>
      </c>
      <c r="AL9" s="241">
        <f>SUM(F10:AJ10)/8*1.5</f>
        <v>0</v>
      </c>
      <c r="AM9" s="243">
        <f>SUMIF($F$6:$AJ$6,"C.Nhật",$F9:$AJ10)/8*2</f>
        <v>0</v>
      </c>
      <c r="AN9" s="234">
        <f>SUM(AK9:AM10)</f>
        <v>26</v>
      </c>
      <c r="AO9" s="245">
        <v>0</v>
      </c>
      <c r="AP9" s="234"/>
      <c r="AQ9" s="234"/>
      <c r="AR9" s="234"/>
      <c r="AS9" s="236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2"/>
      <c r="AL10" s="242"/>
      <c r="AM10" s="244"/>
      <c r="AN10" s="235"/>
      <c r="AO10" s="246"/>
      <c r="AP10" s="235"/>
      <c r="AQ10" s="235"/>
      <c r="AR10" s="235"/>
      <c r="AS10" s="237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3">
        <f t="shared" ref="AM11:AM13" si="4">SUMIF($F$6:$AJ$6,"C.Nhật",$F11:$AJ12)/8*2</f>
        <v>0</v>
      </c>
      <c r="AN11" s="234">
        <f t="shared" ref="AN11" si="5">SUM(AK11:AM12)</f>
        <v>26</v>
      </c>
      <c r="AO11" s="245">
        <v>0</v>
      </c>
      <c r="AP11" s="234"/>
      <c r="AQ11" s="234"/>
      <c r="AR11" s="234"/>
      <c r="AS11" s="236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2"/>
      <c r="AL12" s="242"/>
      <c r="AM12" s="244"/>
      <c r="AN12" s="235"/>
      <c r="AO12" s="246"/>
      <c r="AP12" s="235"/>
      <c r="AQ12" s="235"/>
      <c r="AR12" s="235"/>
      <c r="AS12" s="237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v>3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f>6+0.941077894736842</f>
        <v>6.9410778947368419</v>
      </c>
      <c r="AC13" s="143"/>
      <c r="AD13" s="143"/>
      <c r="AE13" s="143"/>
      <c r="AF13" s="143"/>
      <c r="AG13" s="143"/>
      <c r="AH13" s="143"/>
      <c r="AI13" s="143"/>
      <c r="AJ13" s="143"/>
      <c r="AK13" s="241">
        <f t="shared" ref="AK13" si="6">((SUM(F13:AJ13))/8)-(SUMIF($F$6:$AJ$6,"C.Nhật",F13:AJ13)/8)</f>
        <v>19.867634736842106</v>
      </c>
      <c r="AL13" s="241">
        <f t="shared" ref="AL13" si="7">SUM(F14:AJ14)/8*1.5</f>
        <v>0</v>
      </c>
      <c r="AM13" s="243">
        <f t="shared" si="4"/>
        <v>0</v>
      </c>
      <c r="AN13" s="234">
        <f t="shared" ref="AN13" si="8">SUM(AK13:AM14)</f>
        <v>19.867634736842106</v>
      </c>
      <c r="AO13" s="245">
        <v>0</v>
      </c>
      <c r="AP13" s="234"/>
      <c r="AQ13" s="234"/>
      <c r="AR13" s="234"/>
      <c r="AS13" s="236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2"/>
      <c r="AL14" s="242"/>
      <c r="AM14" s="244"/>
      <c r="AN14" s="235"/>
      <c r="AO14" s="246"/>
      <c r="AP14" s="235"/>
      <c r="AQ14" s="235"/>
      <c r="AR14" s="235"/>
      <c r="AS14" s="237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1">
        <f t="shared" ref="AK16" si="9">((SUM(F16:AJ16))/8)-(SUMIF($F$6:$AJ$6,"C.Nhật",F16:AJ16)/8)</f>
        <v>26</v>
      </c>
      <c r="AL16" s="241">
        <f t="shared" ref="AL16" si="10">SUM(F17:AJ17)/8*1.5</f>
        <v>0</v>
      </c>
      <c r="AM16" s="243">
        <f>SUMIF($F$6:$AJ$6,"C.Nhật",$F16:$AJ17)/8*2</f>
        <v>0</v>
      </c>
      <c r="AN16" s="234">
        <f>SUM(AK16:AM17)</f>
        <v>26</v>
      </c>
      <c r="AO16" s="245">
        <v>0</v>
      </c>
      <c r="AP16" s="234"/>
      <c r="AQ16" s="234"/>
      <c r="AR16" s="234"/>
      <c r="AS16" s="236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2"/>
      <c r="AL17" s="242"/>
      <c r="AM17" s="244"/>
      <c r="AN17" s="235"/>
      <c r="AO17" s="246"/>
      <c r="AP17" s="235"/>
      <c r="AQ17" s="235"/>
      <c r="AR17" s="235"/>
      <c r="AS17" s="237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f>A16+1</f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1">
        <f t="shared" ref="AK18" si="11">((SUM(F18:AJ18))/8)-(SUMIF($F$6:$AJ$6,"C.Nhật",F18:AJ18)/8)</f>
        <v>26</v>
      </c>
      <c r="AL18" s="241">
        <f t="shared" ref="AL18" si="12">SUM(F19:AJ19)/8*1.5</f>
        <v>0</v>
      </c>
      <c r="AM18" s="243">
        <f>SUMIF($F$6:$AJ$6,"C.Nhật",$F18:$AJ19)/8*2</f>
        <v>0</v>
      </c>
      <c r="AN18" s="234">
        <f t="shared" ref="AN18" si="13">SUM(AK18:AM19)</f>
        <v>26</v>
      </c>
      <c r="AO18" s="245">
        <v>0</v>
      </c>
      <c r="AP18" s="234"/>
      <c r="AQ18" s="234"/>
      <c r="AR18" s="234"/>
      <c r="AS18" s="236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2"/>
      <c r="AL19" s="242"/>
      <c r="AM19" s="244"/>
      <c r="AN19" s="235"/>
      <c r="AO19" s="246"/>
      <c r="AP19" s="235"/>
      <c r="AQ19" s="235"/>
      <c r="AR19" s="235"/>
      <c r="AS19" s="237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f t="shared" ref="A20" si="14">A18+1</f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1">
        <f t="shared" ref="AK20" si="15">((SUM(F20:AJ20))/8)-(SUMIF($F$6:$AJ$6,"C.Nhật",F20:AJ20)/8)</f>
        <v>26</v>
      </c>
      <c r="AL20" s="241">
        <f t="shared" ref="AL20" si="16">SUM(F21:AJ21)/8*1.5</f>
        <v>0</v>
      </c>
      <c r="AM20" s="243">
        <f>SUMIF($F$6:$AJ$6,"C.Nhật",$F20:$AJ21)/8*2</f>
        <v>0</v>
      </c>
      <c r="AN20" s="234">
        <f t="shared" ref="AN20" si="17">SUM(AK20:AM21)</f>
        <v>26</v>
      </c>
      <c r="AO20" s="245">
        <v>0</v>
      </c>
      <c r="AP20" s="234"/>
      <c r="AQ20" s="234"/>
      <c r="AR20" s="234"/>
      <c r="AS20" s="236"/>
      <c r="AT20" s="22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2"/>
      <c r="AL21" s="242"/>
      <c r="AM21" s="244"/>
      <c r="AN21" s="235"/>
      <c r="AO21" s="246"/>
      <c r="AP21" s="235"/>
      <c r="AQ21" s="235"/>
      <c r="AR21" s="235"/>
      <c r="AS21" s="237"/>
      <c r="AT21" s="22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R20:AR21"/>
    <mergeCell ref="AS20:AS21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20:AM21"/>
    <mergeCell ref="AN20:AN21"/>
    <mergeCell ref="AO20:AO21"/>
    <mergeCell ref="AP20:AP21"/>
    <mergeCell ref="AQ20:AQ21"/>
    <mergeCell ref="A20:A21"/>
    <mergeCell ref="B20:B21"/>
    <mergeCell ref="C20:C21"/>
    <mergeCell ref="D20:D21"/>
    <mergeCell ref="AK20:AK21"/>
    <mergeCell ref="AS18:AS19"/>
    <mergeCell ref="AM18:AM19"/>
    <mergeCell ref="AN18:AN19"/>
    <mergeCell ref="AO18:AO19"/>
    <mergeCell ref="AP18:AP19"/>
    <mergeCell ref="AQ18:AQ19"/>
    <mergeCell ref="AR18:AR19"/>
    <mergeCell ref="AL20:AL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7" priority="20" stopIfTrue="1">
      <formula>IF(WEEKDAY(F$5)=1,TRUE,FALSE)</formula>
    </cfRule>
  </conditionalFormatting>
  <conditionalFormatting sqref="F9:AJ12">
    <cfRule type="expression" dxfId="6" priority="19" stopIfTrue="1">
      <formula>IF(WEEKDAY(F$5)=1,TRUE,FALSE)</formula>
    </cfRule>
  </conditionalFormatting>
  <conditionalFormatting sqref="F16:AJ19">
    <cfRule type="expression" dxfId="5" priority="8" stopIfTrue="1">
      <formula>IF(WEEKDAY(F$5)=1,TRUE,FALSE)</formula>
    </cfRule>
  </conditionalFormatting>
  <conditionalFormatting sqref="F16:AJ19">
    <cfRule type="expression" dxfId="4" priority="7" stopIfTrue="1">
      <formula>IF(WEEKDAY(F$5)=1,TRUE,FALSE)</formula>
    </cfRule>
  </conditionalFormatting>
  <conditionalFormatting sqref="F20:AJ21">
    <cfRule type="expression" dxfId="3" priority="4" stopIfTrue="1">
      <formula>IF(WEEKDAY(F$5)=1,TRUE,FALSE)</formula>
    </cfRule>
  </conditionalFormatting>
  <conditionalFormatting sqref="F20:AJ21">
    <cfRule type="expression" dxfId="2" priority="3" stopIfTrue="1">
      <formula>IF(WEEKDAY(F$5)=1,TRUE,FALSE)</formula>
    </cfRule>
  </conditionalFormatting>
  <conditionalFormatting sqref="F13:AJ14">
    <cfRule type="expression" dxfId="1" priority="2" stopIfTrue="1">
      <formula>IF(WEEKDAY(F$5)=1,TRUE,FALSE)</formula>
    </cfRule>
  </conditionalFormatting>
  <conditionalFormatting sqref="F13:AJ14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1" t="str">
        <f>"BẢNG THANH TOÁN LƯƠNG THÁNG"&amp;" "&amp;TEXT($E$4,"mm")&amp;" / "&amp;TEXT($E$4,"yyyy")</f>
        <v>BẢNG THANH TOÁN LƯƠNG THÁNG 12 / 2011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2"/>
      <c r="R1" s="265" t="s">
        <v>185</v>
      </c>
      <c r="S1" s="266"/>
      <c r="T1" s="26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3" t="s">
        <v>19</v>
      </c>
      <c r="B5" s="273" t="s">
        <v>20</v>
      </c>
      <c r="C5" s="227" t="s">
        <v>1</v>
      </c>
      <c r="D5" s="227" t="s">
        <v>2</v>
      </c>
      <c r="E5" s="222" t="s">
        <v>56</v>
      </c>
      <c r="F5" s="275" t="s">
        <v>26</v>
      </c>
      <c r="G5" s="277"/>
      <c r="H5" s="277"/>
      <c r="I5" s="277"/>
      <c r="J5" s="277"/>
      <c r="K5" s="276"/>
      <c r="L5" s="262" t="s">
        <v>57</v>
      </c>
      <c r="M5" s="262" t="s">
        <v>5</v>
      </c>
      <c r="N5" s="227" t="s">
        <v>6</v>
      </c>
      <c r="O5" s="227"/>
      <c r="P5" s="227"/>
      <c r="Q5" s="262" t="s">
        <v>7</v>
      </c>
      <c r="R5" s="262" t="s">
        <v>8</v>
      </c>
      <c r="S5" s="262" t="s">
        <v>9</v>
      </c>
      <c r="T5" s="22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4"/>
      <c r="B6" s="274"/>
      <c r="C6" s="227"/>
      <c r="D6" s="227"/>
      <c r="E6" s="222"/>
      <c r="F6" s="275" t="s">
        <v>59</v>
      </c>
      <c r="G6" s="276"/>
      <c r="H6" s="275" t="s">
        <v>158</v>
      </c>
      <c r="I6" s="277"/>
      <c r="J6" s="278" t="s">
        <v>27</v>
      </c>
      <c r="K6" s="262" t="s">
        <v>4</v>
      </c>
      <c r="L6" s="263"/>
      <c r="M6" s="263"/>
      <c r="N6" s="268" t="s">
        <v>12</v>
      </c>
      <c r="O6" s="262" t="s">
        <v>13</v>
      </c>
      <c r="P6" s="262" t="s">
        <v>34</v>
      </c>
      <c r="Q6" s="263"/>
      <c r="R6" s="263"/>
      <c r="S6" s="263"/>
      <c r="T6" s="22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4"/>
      <c r="B7" s="274"/>
      <c r="C7" s="262"/>
      <c r="D7" s="262"/>
      <c r="E7" s="222"/>
      <c r="F7" s="219" t="s">
        <v>40</v>
      </c>
      <c r="G7" s="216" t="s">
        <v>18</v>
      </c>
      <c r="H7" s="219" t="s">
        <v>40</v>
      </c>
      <c r="I7" s="128" t="s">
        <v>18</v>
      </c>
      <c r="J7" s="279"/>
      <c r="K7" s="263"/>
      <c r="L7" s="264"/>
      <c r="M7" s="264"/>
      <c r="N7" s="269"/>
      <c r="O7" s="263"/>
      <c r="P7" s="263"/>
      <c r="Q7" s="263"/>
      <c r="R7" s="263"/>
      <c r="S7" s="263"/>
      <c r="T7" s="22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-12'!$B$8:$AS$21,36,0)</f>
        <v>26</v>
      </c>
      <c r="G10" s="145">
        <f t="shared" ref="G10:G11" si="3">ROUND(E10/$U$2*F10,0)</f>
        <v>2022222</v>
      </c>
      <c r="H10" s="92">
        <f>(VLOOKUP(B10,'CC -12'!$B$8:$AS$21,37,0)+VLOOKUP(B10,'CC -12'!$B$8:$AS$21,38,0))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2022222</v>
      </c>
      <c r="L10" s="90">
        <f t="shared" ref="L10:L11" si="6">+F10*15000</f>
        <v>390000</v>
      </c>
      <c r="M10" s="40">
        <f t="shared" ref="M10:M11" si="7">K10+L10</f>
        <v>2412222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2412222</v>
      </c>
      <c r="R10" s="39">
        <f>VLOOKUP(B10,DS,23,0)</f>
        <v>0</v>
      </c>
      <c r="S10" s="45">
        <f t="shared" ref="S10:S11" si="9">Q10-R10</f>
        <v>2412222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-12'!$B$8:$AS$21,36,0)</f>
        <v>26</v>
      </c>
      <c r="G11" s="145">
        <f t="shared" si="3"/>
        <v>1829630</v>
      </c>
      <c r="H11" s="92">
        <f>(VLOOKUP(B11,'CC -12'!$B$8:$AS$21,37,0)+VLOOKUP(B11,'CC -12'!$B$8:$AS$21,38,0))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1829630</v>
      </c>
      <c r="L11" s="90">
        <f t="shared" si="6"/>
        <v>390000</v>
      </c>
      <c r="M11" s="40">
        <f t="shared" si="7"/>
        <v>2219630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2219630</v>
      </c>
      <c r="R11" s="39">
        <f>VLOOKUP(B11,DS,23,0)</f>
        <v>0</v>
      </c>
      <c r="S11" s="45">
        <f t="shared" si="9"/>
        <v>2219630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1900000</v>
      </c>
      <c r="F12" s="92">
        <f>VLOOKUP(B12,'CC -12'!$B$8:$AS$21,36,0)</f>
        <v>19.867634736842106</v>
      </c>
      <c r="G12" s="145">
        <f t="shared" ref="G12" si="13">ROUND(E12/$U$2*F12,0)</f>
        <v>1398093</v>
      </c>
      <c r="H12" s="92">
        <f>(VLOOKUP(B12,'CC -12'!$B$8:$AS$21,37,0)+VLOOKUP(B12,'CC -12'!$B$8:$AS$21,38,0))</f>
        <v>0</v>
      </c>
      <c r="I12" s="145">
        <f t="shared" ref="I12" si="14">ROUND(E12/$U$2*H12,0)</f>
        <v>0</v>
      </c>
      <c r="J12" s="93">
        <f t="shared" ref="J12" si="15">F12+H12</f>
        <v>19.867634736842106</v>
      </c>
      <c r="K12" s="39">
        <f t="shared" ref="K12" si="16">G12+I12</f>
        <v>1398093</v>
      </c>
      <c r="L12" s="90">
        <f>300000</f>
        <v>300000</v>
      </c>
      <c r="M12" s="40">
        <f t="shared" ref="M12" si="17">K12+L12</f>
        <v>1698093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8">M12-SUM(N12:P12)</f>
        <v>1698093</v>
      </c>
      <c r="R12" s="39">
        <f>VLOOKUP(B12,DS,23,0)</f>
        <v>0</v>
      </c>
      <c r="S12" s="45">
        <f t="shared" ref="S12" si="19">Q12-R12</f>
        <v>1698093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SUM(E9:E13)</f>
        <v>5900000</v>
      </c>
      <c r="F14" s="140"/>
      <c r="G14" s="140">
        <f t="shared" ref="F14:S14" si="20">SUM(G9:G13)</f>
        <v>5249945</v>
      </c>
      <c r="H14" s="140"/>
      <c r="I14" s="140">
        <f t="shared" si="20"/>
        <v>0</v>
      </c>
      <c r="J14" s="140"/>
      <c r="K14" s="140">
        <f t="shared" si="20"/>
        <v>5249945</v>
      </c>
      <c r="L14" s="140">
        <f t="shared" si="20"/>
        <v>1080000</v>
      </c>
      <c r="M14" s="140">
        <f t="shared" si="20"/>
        <v>6329945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6329945</v>
      </c>
      <c r="R14" s="140">
        <f t="shared" si="20"/>
        <v>0</v>
      </c>
      <c r="S14" s="140">
        <f t="shared" si="20"/>
        <v>6329945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1">VLOOKUP(B16,DS,2,0)</f>
        <v>Nguyễn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-12'!$B$8:$AS$21,36,0)</f>
        <v>26</v>
      </c>
      <c r="G16" s="145">
        <f t="shared" ref="G16:G18" si="24">ROUND(E16/$U$2*F16,0)</f>
        <v>1733333</v>
      </c>
      <c r="H16" s="92">
        <f>(VLOOKUP(B16,'CC -12'!$B$8:$AS$21,37,0)+VLOOKUP(B16,'CC -12'!$B$8:$AS$21,38,0))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1733333</v>
      </c>
      <c r="L16" s="90">
        <f t="shared" ref="L16:L18" si="27">+F16*15000</f>
        <v>390000</v>
      </c>
      <c r="M16" s="40">
        <f t="shared" ref="M16:M18" si="28">K16+L16</f>
        <v>2123333</v>
      </c>
      <c r="N16" s="40">
        <f>IF(VLOOKUP(B16,DS,9,0)="x",'L - 12'!E16*$N$4,0)</f>
        <v>0</v>
      </c>
      <c r="O16" s="40">
        <f t="shared" ref="O16:O18" si="29">IF(VLOOKUP(B16,DS,9,0)="x",E16*0.015,0)</f>
        <v>0</v>
      </c>
      <c r="P16" s="40">
        <f t="shared" ref="P16:P18" si="30">IF(VLOOKUP(B16,DS,9,0)="x",E16*0.01,0)</f>
        <v>0</v>
      </c>
      <c r="Q16" s="39">
        <f>M16-SUM(N16:P16)</f>
        <v>2123333</v>
      </c>
      <c r="R16" s="39">
        <f t="shared" ref="R16:R18" si="31">VLOOKUP(B16,DS,23,0)</f>
        <v>0</v>
      </c>
      <c r="S16" s="45">
        <f>Q16-R16</f>
        <v>2123333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1"/>
        <v>Đoàn Hồng Phong</v>
      </c>
      <c r="D17" s="116" t="str">
        <f t="shared" si="22"/>
        <v>Thợ đóng - xả</v>
      </c>
      <c r="E17" s="90">
        <f t="shared" si="23"/>
        <v>1800000</v>
      </c>
      <c r="F17" s="92">
        <f>VLOOKUP(B17,'CC -12'!$B$8:$AS$21,36,0)</f>
        <v>26</v>
      </c>
      <c r="G17" s="145">
        <f t="shared" si="24"/>
        <v>1733333</v>
      </c>
      <c r="H17" s="92">
        <f>(VLOOKUP(B17,'CC -12'!$B$8:$AS$21,37,0)+VLOOKUP(B17,'CC -12'!$B$8:$AS$21,38,0))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1733333</v>
      </c>
      <c r="L17" s="90">
        <f t="shared" si="27"/>
        <v>390000</v>
      </c>
      <c r="M17" s="40">
        <f t="shared" si="28"/>
        <v>2123333</v>
      </c>
      <c r="N17" s="40">
        <f>IF(VLOOKUP(B17,DS,9,0)="x",'L - 12'!E17*$N$4,0)</f>
        <v>0</v>
      </c>
      <c r="O17" s="40">
        <f t="shared" si="29"/>
        <v>0</v>
      </c>
      <c r="P17" s="40">
        <f t="shared" si="30"/>
        <v>0</v>
      </c>
      <c r="Q17" s="39">
        <f t="shared" ref="Q17:Q18" si="32">M17-SUM(N17:P17)</f>
        <v>2123333</v>
      </c>
      <c r="R17" s="39">
        <f t="shared" si="31"/>
        <v>0</v>
      </c>
      <c r="S17" s="45">
        <f t="shared" ref="S17:S18" si="33">Q17-R17</f>
        <v>2123333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1"/>
        <v>Trần Hữu Tình</v>
      </c>
      <c r="D18" s="116" t="str">
        <f t="shared" si="22"/>
        <v>Công nhân</v>
      </c>
      <c r="E18" s="90">
        <f t="shared" si="23"/>
        <v>1500000</v>
      </c>
      <c r="F18" s="92">
        <f>VLOOKUP(B18,'CC -12'!$B$8:$AS$21,36,0)</f>
        <v>26</v>
      </c>
      <c r="G18" s="145">
        <f t="shared" si="24"/>
        <v>1444444</v>
      </c>
      <c r="H18" s="92">
        <f>(VLOOKUP(B18,'CC -12'!$B$8:$AS$21,37,0)+VLOOKUP(B18,'CC -12'!$B$8:$AS$21,38,0))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1444444</v>
      </c>
      <c r="L18" s="90">
        <f t="shared" si="27"/>
        <v>390000</v>
      </c>
      <c r="M18" s="40">
        <f t="shared" si="28"/>
        <v>1834444</v>
      </c>
      <c r="N18" s="40">
        <f>IF(VLOOKUP(B18,DS,9,0)="x",'L - 12'!E18*$N$4,0)</f>
        <v>0</v>
      </c>
      <c r="O18" s="40">
        <f t="shared" si="29"/>
        <v>0</v>
      </c>
      <c r="P18" s="40">
        <f t="shared" si="30"/>
        <v>0</v>
      </c>
      <c r="Q18" s="39">
        <f t="shared" si="32"/>
        <v>1834444</v>
      </c>
      <c r="R18" s="39">
        <f t="shared" si="31"/>
        <v>0</v>
      </c>
      <c r="S18" s="45">
        <f t="shared" si="33"/>
        <v>1834444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0" t="s">
        <v>25</v>
      </c>
      <c r="B20" s="270"/>
      <c r="C20" s="270"/>
      <c r="D20" s="270"/>
      <c r="E20" s="140">
        <f>SUM(E15:E19)</f>
        <v>5100000</v>
      </c>
      <c r="F20" s="140"/>
      <c r="G20" s="140">
        <f>SUM(G15:G19)</f>
        <v>4911110</v>
      </c>
      <c r="H20" s="140"/>
      <c r="I20" s="140">
        <f>SUM(I15:I19)</f>
        <v>0</v>
      </c>
      <c r="J20" s="140"/>
      <c r="K20" s="140">
        <f>SUM(K15:K19)</f>
        <v>4911110</v>
      </c>
      <c r="L20" s="140">
        <f>SUM(L15:L19)</f>
        <v>1170000</v>
      </c>
      <c r="M20" s="140">
        <f>SUM(M15:M19)</f>
        <v>6081110</v>
      </c>
      <c r="N20" s="140">
        <f>SUM(N15:N19)</f>
        <v>0</v>
      </c>
      <c r="O20" s="140">
        <f>SUM(O15:O19)</f>
        <v>0</v>
      </c>
      <c r="P20" s="140">
        <f>SUM(P15:P19)</f>
        <v>0</v>
      </c>
      <c r="Q20" s="140">
        <f>SUM(Q15:Q19)</f>
        <v>6081110</v>
      </c>
      <c r="R20" s="140">
        <f>SUM(R15:R19)</f>
        <v>0</v>
      </c>
      <c r="S20" s="140">
        <f>SUM(S15:S19)</f>
        <v>6081110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12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W10:W13 AF5:IK13 A10:B14 Q10:S13" name="Range1"/>
    <protectedRange password="CC78" sqref="F7:H7" name="Range1_4"/>
    <protectedRange password="CC78" sqref="V23:IK24 S23:T24 N23:Q24 E23:I24" name="Range1_1_1"/>
    <protectedRange password="CC78" sqref="U1 W1:IK3 V4:IK4 B4:T4 R2:S3 B1:Q3 U19:U31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2016-05-24T06:20:45Z</dcterms:modified>
</cp:coreProperties>
</file>