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13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TH!$B$11:$X$25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- 8'!$A$1:$AS$51</definedName>
    <definedName name="_xlnm.Print_Area" localSheetId="1">'CC -1'!$A$1:$AS$51</definedName>
    <definedName name="_xlnm.Print_Area" localSheetId="19">'CC -10'!$A$1:$AS$51</definedName>
    <definedName name="_xlnm.Print_Area" localSheetId="21">'CC -11'!$A$1:$AS$51</definedName>
    <definedName name="_xlnm.Print_Area" localSheetId="23">'CC -12'!$A$1:$AS$51</definedName>
    <definedName name="_xlnm.Print_Area" localSheetId="3">'CC -2'!$A$1:$AQ$51</definedName>
    <definedName name="_xlnm.Print_Area" localSheetId="5">'CC -3'!$A$1:$AS$51</definedName>
    <definedName name="_xlnm.Print_Area" localSheetId="7">'CC -4'!$A$1:$AR$51</definedName>
    <definedName name="_xlnm.Print_Area" localSheetId="9">'CC -5'!$A$1:$AS$51</definedName>
    <definedName name="_xlnm.Print_Area" localSheetId="11">'CC -6'!$A$1:$AS$51</definedName>
    <definedName name="_xlnm.Print_Area" localSheetId="13">'CC -7'!$A$1:$AS$51</definedName>
    <definedName name="_xlnm.Print_Area" localSheetId="17">'CC -9'!$A$1:$AS$51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E14" i="48" l="1"/>
  <c r="L14" i="48"/>
  <c r="N14" i="48"/>
  <c r="O14" i="48"/>
  <c r="P14" i="48"/>
  <c r="R14" i="48"/>
  <c r="R18" i="46" l="1"/>
  <c r="P18" i="46"/>
  <c r="O18" i="46"/>
  <c r="N18" i="46"/>
  <c r="H18" i="46"/>
  <c r="F18" i="46"/>
  <c r="J18" i="46" s="1"/>
  <c r="E18" i="46"/>
  <c r="D18" i="46"/>
  <c r="C18" i="46"/>
  <c r="R17" i="46"/>
  <c r="P17" i="46"/>
  <c r="O17" i="46"/>
  <c r="N17" i="46"/>
  <c r="H17" i="46"/>
  <c r="F17" i="46"/>
  <c r="L17" i="46" s="1"/>
  <c r="E17" i="46"/>
  <c r="D17" i="46"/>
  <c r="C17" i="46"/>
  <c r="R20" i="46"/>
  <c r="P20" i="46"/>
  <c r="O20" i="46"/>
  <c r="N20" i="46"/>
  <c r="H20" i="46"/>
  <c r="F20" i="46"/>
  <c r="E20" i="46"/>
  <c r="D20" i="46"/>
  <c r="C20" i="46"/>
  <c r="R19" i="46"/>
  <c r="P19" i="46"/>
  <c r="O19" i="46"/>
  <c r="N19" i="46"/>
  <c r="H19" i="46"/>
  <c r="F19" i="46"/>
  <c r="L19" i="46" s="1"/>
  <c r="E19" i="46"/>
  <c r="D19" i="46"/>
  <c r="C19" i="46"/>
  <c r="R11" i="46"/>
  <c r="P11" i="46"/>
  <c r="O11" i="46"/>
  <c r="N11" i="46"/>
  <c r="H11" i="46"/>
  <c r="F11" i="46"/>
  <c r="E11" i="46"/>
  <c r="D11" i="46"/>
  <c r="C11" i="46"/>
  <c r="AM20" i="45"/>
  <c r="AL20" i="45"/>
  <c r="AK20" i="45"/>
  <c r="AN20" i="45" s="1"/>
  <c r="D20" i="45"/>
  <c r="C20" i="45"/>
  <c r="AM18" i="45"/>
  <c r="AL18" i="45"/>
  <c r="AK18" i="45"/>
  <c r="D18" i="45"/>
  <c r="C18" i="45"/>
  <c r="AM24" i="45"/>
  <c r="AL24" i="45"/>
  <c r="AK24" i="45"/>
  <c r="AN24" i="45" s="1"/>
  <c r="D24" i="45"/>
  <c r="C24" i="45"/>
  <c r="AM22" i="45"/>
  <c r="AL22" i="45"/>
  <c r="AK22" i="45"/>
  <c r="D22" i="45"/>
  <c r="C22" i="45"/>
  <c r="AM11" i="45"/>
  <c r="AL11" i="45"/>
  <c r="AK11" i="45"/>
  <c r="D11" i="45"/>
  <c r="C11" i="45"/>
  <c r="R18" i="44"/>
  <c r="P18" i="44"/>
  <c r="O18" i="44"/>
  <c r="N18" i="44"/>
  <c r="H18" i="44"/>
  <c r="F18" i="44"/>
  <c r="E18" i="44"/>
  <c r="D18" i="44"/>
  <c r="C18" i="44"/>
  <c r="R17" i="44"/>
  <c r="P17" i="44"/>
  <c r="O17" i="44"/>
  <c r="N17" i="44"/>
  <c r="L17" i="44"/>
  <c r="H17" i="44"/>
  <c r="F17" i="44"/>
  <c r="J17" i="44" s="1"/>
  <c r="E17" i="44"/>
  <c r="D17" i="44"/>
  <c r="C17" i="44"/>
  <c r="R20" i="44"/>
  <c r="P20" i="44"/>
  <c r="O20" i="44"/>
  <c r="N20" i="44"/>
  <c r="H20" i="44"/>
  <c r="F20" i="44"/>
  <c r="J20" i="44" s="1"/>
  <c r="E20" i="44"/>
  <c r="D20" i="44"/>
  <c r="C20" i="44"/>
  <c r="R19" i="44"/>
  <c r="P19" i="44"/>
  <c r="O19" i="44"/>
  <c r="N19" i="44"/>
  <c r="H19" i="44"/>
  <c r="F19" i="44"/>
  <c r="L19" i="44" s="1"/>
  <c r="E19" i="44"/>
  <c r="D19" i="44"/>
  <c r="C19" i="44"/>
  <c r="R11" i="44"/>
  <c r="P11" i="44"/>
  <c r="O11" i="44"/>
  <c r="N11" i="44"/>
  <c r="H11" i="44"/>
  <c r="F11" i="44"/>
  <c r="E11" i="44"/>
  <c r="D11" i="44"/>
  <c r="C11" i="44"/>
  <c r="AM20" i="43"/>
  <c r="AL20" i="43"/>
  <c r="AK20" i="43"/>
  <c r="AN20" i="43" s="1"/>
  <c r="D20" i="43"/>
  <c r="C20" i="43"/>
  <c r="AM18" i="43"/>
  <c r="AL18" i="43"/>
  <c r="AK18" i="43"/>
  <c r="D18" i="43"/>
  <c r="C18" i="43"/>
  <c r="AM24" i="43"/>
  <c r="AL24" i="43"/>
  <c r="AK24" i="43"/>
  <c r="D24" i="43"/>
  <c r="C24" i="43"/>
  <c r="AM22" i="43"/>
  <c r="AL22" i="43"/>
  <c r="AK22" i="43"/>
  <c r="AN22" i="43" s="1"/>
  <c r="D22" i="43"/>
  <c r="C22" i="43"/>
  <c r="AM11" i="43"/>
  <c r="AL11" i="43"/>
  <c r="AK11" i="43"/>
  <c r="AN11" i="43" s="1"/>
  <c r="D11" i="43"/>
  <c r="C11" i="43"/>
  <c r="R18" i="42"/>
  <c r="P18" i="42"/>
  <c r="O18" i="42"/>
  <c r="N18" i="42"/>
  <c r="H18" i="42"/>
  <c r="F18" i="42"/>
  <c r="J18" i="42" s="1"/>
  <c r="E18" i="42"/>
  <c r="D18" i="42"/>
  <c r="C18" i="42"/>
  <c r="R17" i="42"/>
  <c r="P17" i="42"/>
  <c r="O17" i="42"/>
  <c r="N17" i="42"/>
  <c r="H17" i="42"/>
  <c r="F17" i="42"/>
  <c r="L17" i="42" s="1"/>
  <c r="E17" i="42"/>
  <c r="D17" i="42"/>
  <c r="C17" i="42"/>
  <c r="R20" i="42"/>
  <c r="P20" i="42"/>
  <c r="O20" i="42"/>
  <c r="N20" i="42"/>
  <c r="H20" i="42"/>
  <c r="F20" i="42"/>
  <c r="E20" i="42"/>
  <c r="D20" i="42"/>
  <c r="C20" i="42"/>
  <c r="R19" i="42"/>
  <c r="P19" i="42"/>
  <c r="O19" i="42"/>
  <c r="N19" i="42"/>
  <c r="H19" i="42"/>
  <c r="F19" i="42"/>
  <c r="L19" i="42" s="1"/>
  <c r="E19" i="42"/>
  <c r="D19" i="42"/>
  <c r="C19" i="42"/>
  <c r="R11" i="42"/>
  <c r="P11" i="42"/>
  <c r="O11" i="42"/>
  <c r="N11" i="42"/>
  <c r="H11" i="42"/>
  <c r="F11" i="42"/>
  <c r="E11" i="42"/>
  <c r="D11" i="42"/>
  <c r="C11" i="42"/>
  <c r="AM20" i="41"/>
  <c r="AL20" i="41"/>
  <c r="AK20" i="41"/>
  <c r="AN20" i="41" s="1"/>
  <c r="D20" i="41"/>
  <c r="C20" i="41"/>
  <c r="AM18" i="41"/>
  <c r="AL18" i="41"/>
  <c r="AK18" i="41"/>
  <c r="AN18" i="41" s="1"/>
  <c r="D18" i="41"/>
  <c r="C18" i="41"/>
  <c r="AM24" i="41"/>
  <c r="AL24" i="41"/>
  <c r="AK24" i="41"/>
  <c r="D24" i="41"/>
  <c r="C24" i="41"/>
  <c r="AM22" i="41"/>
  <c r="AL22" i="41"/>
  <c r="AK22" i="41"/>
  <c r="AN22" i="41" s="1"/>
  <c r="D22" i="41"/>
  <c r="C22" i="41"/>
  <c r="AM11" i="41"/>
  <c r="AL11" i="41"/>
  <c r="AK11" i="41"/>
  <c r="D11" i="41"/>
  <c r="C11" i="41"/>
  <c r="R18" i="40"/>
  <c r="P18" i="40"/>
  <c r="O18" i="40"/>
  <c r="N18" i="40"/>
  <c r="H18" i="40"/>
  <c r="F18" i="40"/>
  <c r="E18" i="40"/>
  <c r="D18" i="40"/>
  <c r="C18" i="40"/>
  <c r="R17" i="40"/>
  <c r="P17" i="40"/>
  <c r="O17" i="40"/>
  <c r="N17" i="40"/>
  <c r="L17" i="40"/>
  <c r="H17" i="40"/>
  <c r="F17" i="40"/>
  <c r="E17" i="40"/>
  <c r="D17" i="40"/>
  <c r="C17" i="40"/>
  <c r="R20" i="40"/>
  <c r="P20" i="40"/>
  <c r="O20" i="40"/>
  <c r="N20" i="40"/>
  <c r="H20" i="40"/>
  <c r="F20" i="40"/>
  <c r="J20" i="40" s="1"/>
  <c r="E20" i="40"/>
  <c r="D20" i="40"/>
  <c r="C20" i="40"/>
  <c r="R19" i="40"/>
  <c r="P19" i="40"/>
  <c r="O19" i="40"/>
  <c r="N19" i="40"/>
  <c r="H19" i="40"/>
  <c r="F19" i="40"/>
  <c r="L19" i="40" s="1"/>
  <c r="E19" i="40"/>
  <c r="D19" i="40"/>
  <c r="C19" i="40"/>
  <c r="R11" i="40"/>
  <c r="P11" i="40"/>
  <c r="O11" i="40"/>
  <c r="N11" i="40"/>
  <c r="H11" i="40"/>
  <c r="F11" i="40"/>
  <c r="E11" i="40"/>
  <c r="D11" i="40"/>
  <c r="C11" i="40"/>
  <c r="AM20" i="39"/>
  <c r="AL20" i="39"/>
  <c r="AK20" i="39"/>
  <c r="AN20" i="39" s="1"/>
  <c r="D20" i="39"/>
  <c r="C20" i="39"/>
  <c r="AM18" i="39"/>
  <c r="AL18" i="39"/>
  <c r="AK18" i="39"/>
  <c r="D18" i="39"/>
  <c r="C18" i="39"/>
  <c r="AM24" i="39"/>
  <c r="AL24" i="39"/>
  <c r="AK24" i="39"/>
  <c r="AN24" i="39" s="1"/>
  <c r="D24" i="39"/>
  <c r="C24" i="39"/>
  <c r="AM22" i="39"/>
  <c r="AL22" i="39"/>
  <c r="AK22" i="39"/>
  <c r="D22" i="39"/>
  <c r="C22" i="39"/>
  <c r="AM11" i="39"/>
  <c r="AL11" i="39"/>
  <c r="AK11" i="39"/>
  <c r="D11" i="39"/>
  <c r="C11" i="39"/>
  <c r="R18" i="38"/>
  <c r="P18" i="38"/>
  <c r="O18" i="38"/>
  <c r="N18" i="38"/>
  <c r="H18" i="38"/>
  <c r="F18" i="38"/>
  <c r="J18" i="38" s="1"/>
  <c r="E18" i="38"/>
  <c r="D18" i="38"/>
  <c r="C18" i="38"/>
  <c r="R17" i="38"/>
  <c r="P17" i="38"/>
  <c r="O17" i="38"/>
  <c r="N17" i="38"/>
  <c r="H17" i="38"/>
  <c r="F17" i="38"/>
  <c r="L17" i="38" s="1"/>
  <c r="E17" i="38"/>
  <c r="D17" i="38"/>
  <c r="C17" i="38"/>
  <c r="R20" i="38"/>
  <c r="P20" i="38"/>
  <c r="O20" i="38"/>
  <c r="N20" i="38"/>
  <c r="H20" i="38"/>
  <c r="F20" i="38"/>
  <c r="E20" i="38"/>
  <c r="D20" i="38"/>
  <c r="C20" i="38"/>
  <c r="R19" i="38"/>
  <c r="P19" i="38"/>
  <c r="O19" i="38"/>
  <c r="N19" i="38"/>
  <c r="H19" i="38"/>
  <c r="F19" i="38"/>
  <c r="J19" i="38" s="1"/>
  <c r="E19" i="38"/>
  <c r="D19" i="38"/>
  <c r="C19" i="38"/>
  <c r="R11" i="38"/>
  <c r="P11" i="38"/>
  <c r="O11" i="38"/>
  <c r="N11" i="38"/>
  <c r="H11" i="38"/>
  <c r="F11" i="38"/>
  <c r="E11" i="38"/>
  <c r="D11" i="38"/>
  <c r="C11" i="38"/>
  <c r="AM20" i="37"/>
  <c r="AL20" i="37"/>
  <c r="AK20" i="37"/>
  <c r="AN20" i="37" s="1"/>
  <c r="D20" i="37"/>
  <c r="C20" i="37"/>
  <c r="AM18" i="37"/>
  <c r="AL18" i="37"/>
  <c r="AK18" i="37"/>
  <c r="D18" i="37"/>
  <c r="C18" i="37"/>
  <c r="AM24" i="37"/>
  <c r="AL24" i="37"/>
  <c r="AK24" i="37"/>
  <c r="AN24" i="37" s="1"/>
  <c r="D24" i="37"/>
  <c r="C24" i="37"/>
  <c r="AM22" i="37"/>
  <c r="AL22" i="37"/>
  <c r="AK22" i="37"/>
  <c r="D22" i="37"/>
  <c r="C22" i="37"/>
  <c r="AM11" i="37"/>
  <c r="AL11" i="37"/>
  <c r="AK11" i="37"/>
  <c r="D11" i="37"/>
  <c r="C1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20" i="36"/>
  <c r="P20" i="36"/>
  <c r="O20" i="36"/>
  <c r="N20" i="36"/>
  <c r="E20" i="36"/>
  <c r="D20" i="36"/>
  <c r="C20" i="36"/>
  <c r="R19" i="36"/>
  <c r="P19" i="36"/>
  <c r="O19" i="36"/>
  <c r="N19" i="36"/>
  <c r="E19" i="36"/>
  <c r="D19" i="36"/>
  <c r="C19" i="36"/>
  <c r="R11" i="36"/>
  <c r="P11" i="36"/>
  <c r="O11" i="36"/>
  <c r="N11" i="36"/>
  <c r="E11" i="36"/>
  <c r="D11" i="36"/>
  <c r="C11" i="36"/>
  <c r="AM20" i="35"/>
  <c r="AL20" i="35"/>
  <c r="H18" i="36" s="1"/>
  <c r="AK20" i="35"/>
  <c r="AN20" i="35" s="1"/>
  <c r="D20" i="35"/>
  <c r="C20" i="35"/>
  <c r="AM18" i="35"/>
  <c r="AL18" i="35"/>
  <c r="H17" i="36" s="1"/>
  <c r="AK18" i="35"/>
  <c r="D18" i="35"/>
  <c r="C18" i="35"/>
  <c r="AM24" i="35"/>
  <c r="AL24" i="35"/>
  <c r="H20" i="36" s="1"/>
  <c r="AK24" i="35"/>
  <c r="D24" i="35"/>
  <c r="C24" i="35"/>
  <c r="AM22" i="35"/>
  <c r="AL22" i="35"/>
  <c r="H19" i="36" s="1"/>
  <c r="AK22" i="35"/>
  <c r="AN22" i="35" s="1"/>
  <c r="D22" i="35"/>
  <c r="C22" i="35"/>
  <c r="AM11" i="35"/>
  <c r="H11" i="36" s="1"/>
  <c r="AL11" i="35"/>
  <c r="AK11" i="35"/>
  <c r="F11" i="36" s="1"/>
  <c r="D11" i="35"/>
  <c r="C11" i="35"/>
  <c r="R21" i="34"/>
  <c r="P21" i="34"/>
  <c r="O21" i="34"/>
  <c r="N21" i="34"/>
  <c r="H21" i="34"/>
  <c r="F21" i="34"/>
  <c r="J21" i="34" s="1"/>
  <c r="E21" i="34"/>
  <c r="D21" i="34"/>
  <c r="C21" i="34"/>
  <c r="AM26" i="33"/>
  <c r="AL26" i="33"/>
  <c r="AK26" i="33"/>
  <c r="AN26" i="33" s="1"/>
  <c r="D26" i="33"/>
  <c r="C26" i="33"/>
  <c r="R21" i="16"/>
  <c r="P21" i="16"/>
  <c r="O21" i="16"/>
  <c r="N21" i="16"/>
  <c r="H21" i="16"/>
  <c r="F21" i="16"/>
  <c r="J21" i="16" s="1"/>
  <c r="E21" i="16"/>
  <c r="D21" i="16"/>
  <c r="C21" i="16"/>
  <c r="AM26" i="14"/>
  <c r="AL26" i="14"/>
  <c r="AK26" i="14"/>
  <c r="AN26" i="14" s="1"/>
  <c r="D26" i="14"/>
  <c r="C26" i="14"/>
  <c r="R21" i="54"/>
  <c r="P21" i="54"/>
  <c r="O21" i="54"/>
  <c r="N21" i="54"/>
  <c r="H21" i="54"/>
  <c r="F21" i="54"/>
  <c r="J21" i="54" s="1"/>
  <c r="E21" i="54"/>
  <c r="D21" i="54"/>
  <c r="C21" i="54"/>
  <c r="AL26" i="53"/>
  <c r="AK26" i="53"/>
  <c r="AJ26" i="53"/>
  <c r="AM26" i="53" s="1"/>
  <c r="D26" i="53"/>
  <c r="C26" i="53"/>
  <c r="R21" i="52"/>
  <c r="P21" i="52"/>
  <c r="O21" i="52"/>
  <c r="N21" i="52"/>
  <c r="H21" i="52"/>
  <c r="F21" i="52"/>
  <c r="J21" i="52" s="1"/>
  <c r="E21" i="52"/>
  <c r="D21" i="52"/>
  <c r="C21" i="52"/>
  <c r="AM26" i="51"/>
  <c r="AL26" i="51"/>
  <c r="AK26" i="51"/>
  <c r="AN26" i="51" s="1"/>
  <c r="D26" i="51"/>
  <c r="C26" i="51"/>
  <c r="R21" i="50"/>
  <c r="P21" i="50"/>
  <c r="O21" i="50"/>
  <c r="N21" i="50"/>
  <c r="H21" i="50"/>
  <c r="F21" i="50"/>
  <c r="J21" i="50" s="1"/>
  <c r="E21" i="50"/>
  <c r="D21" i="50"/>
  <c r="C21" i="50"/>
  <c r="AK26" i="49"/>
  <c r="AJ26" i="49"/>
  <c r="AI26" i="49"/>
  <c r="AL26" i="49" s="1"/>
  <c r="D26" i="49"/>
  <c r="C26" i="49"/>
  <c r="R21" i="48"/>
  <c r="P21" i="48"/>
  <c r="O21" i="48"/>
  <c r="N21" i="48"/>
  <c r="H21" i="48"/>
  <c r="F21" i="48"/>
  <c r="J21" i="48" s="1"/>
  <c r="E21" i="48"/>
  <c r="D21" i="48"/>
  <c r="C21" i="48"/>
  <c r="AM26" i="47"/>
  <c r="AL26" i="47"/>
  <c r="AK26" i="47"/>
  <c r="AN26" i="47" s="1"/>
  <c r="D26" i="47"/>
  <c r="C26" i="47"/>
  <c r="R17" i="34"/>
  <c r="P17" i="34"/>
  <c r="O17" i="34"/>
  <c r="N17" i="34"/>
  <c r="H17" i="34"/>
  <c r="F17" i="34"/>
  <c r="J17" i="34" s="1"/>
  <c r="E17" i="34"/>
  <c r="D17" i="34"/>
  <c r="C17" i="34"/>
  <c r="R19" i="34"/>
  <c r="P19" i="34"/>
  <c r="O19" i="34"/>
  <c r="N19" i="34"/>
  <c r="H19" i="34"/>
  <c r="F19" i="34"/>
  <c r="L19" i="34" s="1"/>
  <c r="E19" i="34"/>
  <c r="D19" i="34"/>
  <c r="C19" i="34"/>
  <c r="R18" i="34"/>
  <c r="P18" i="34"/>
  <c r="O18" i="34"/>
  <c r="N18" i="34"/>
  <c r="H18" i="34"/>
  <c r="F18" i="34"/>
  <c r="E18" i="34"/>
  <c r="D18" i="34"/>
  <c r="C18" i="34"/>
  <c r="R11" i="34"/>
  <c r="P11" i="34"/>
  <c r="O11" i="34"/>
  <c r="N11" i="34"/>
  <c r="F11" i="34"/>
  <c r="L11" i="34" s="1"/>
  <c r="E11" i="34"/>
  <c r="D11" i="34"/>
  <c r="C11" i="34"/>
  <c r="AM18" i="33"/>
  <c r="AL18" i="33"/>
  <c r="AK18" i="33"/>
  <c r="AN18" i="33" s="1"/>
  <c r="D18" i="33"/>
  <c r="C18" i="33"/>
  <c r="AM22" i="33"/>
  <c r="AL22" i="33"/>
  <c r="AK22" i="33"/>
  <c r="D22" i="33"/>
  <c r="C22" i="33"/>
  <c r="AM20" i="33"/>
  <c r="AL20" i="33"/>
  <c r="AK20" i="33"/>
  <c r="D20" i="33"/>
  <c r="C20" i="33"/>
  <c r="AM11" i="33"/>
  <c r="H11" i="34" s="1"/>
  <c r="AL11" i="33"/>
  <c r="AK11" i="33"/>
  <c r="D11" i="33"/>
  <c r="C11" i="33"/>
  <c r="R17" i="16"/>
  <c r="P17" i="16"/>
  <c r="O17" i="16"/>
  <c r="N17" i="16"/>
  <c r="H17" i="16"/>
  <c r="F17" i="16"/>
  <c r="E17" i="16"/>
  <c r="D17" i="16"/>
  <c r="C17" i="16"/>
  <c r="R19" i="16"/>
  <c r="P19" i="16"/>
  <c r="O19" i="16"/>
  <c r="N19" i="16"/>
  <c r="H19" i="16"/>
  <c r="F19" i="16"/>
  <c r="E19" i="16"/>
  <c r="D19" i="16"/>
  <c r="C19" i="16"/>
  <c r="R18" i="16"/>
  <c r="P18" i="16"/>
  <c r="O18" i="16"/>
  <c r="N18" i="16"/>
  <c r="H18" i="16"/>
  <c r="F18" i="16"/>
  <c r="L18" i="16" s="1"/>
  <c r="E18" i="16"/>
  <c r="D18" i="16"/>
  <c r="C18" i="16"/>
  <c r="R11" i="16"/>
  <c r="P11" i="16"/>
  <c r="O11" i="16"/>
  <c r="N11" i="16"/>
  <c r="F11" i="16"/>
  <c r="E11" i="16"/>
  <c r="D11" i="16"/>
  <c r="C11" i="16"/>
  <c r="AM18" i="14"/>
  <c r="AL18" i="14"/>
  <c r="AK18" i="14"/>
  <c r="AN18" i="14" s="1"/>
  <c r="D18" i="14"/>
  <c r="C18" i="14"/>
  <c r="AM22" i="14"/>
  <c r="AL22" i="14"/>
  <c r="AK22" i="14"/>
  <c r="D22" i="14"/>
  <c r="C22" i="14"/>
  <c r="AM20" i="14"/>
  <c r="AL20" i="14"/>
  <c r="AK20" i="14"/>
  <c r="D20" i="14"/>
  <c r="C20" i="14"/>
  <c r="AM11" i="14"/>
  <c r="H11" i="16" s="1"/>
  <c r="AL11" i="14"/>
  <c r="AK11" i="14"/>
  <c r="D11" i="14"/>
  <c r="C11" i="14"/>
  <c r="J20" i="46" l="1"/>
  <c r="L18" i="46"/>
  <c r="J17" i="46"/>
  <c r="J11" i="46"/>
  <c r="L20" i="46"/>
  <c r="J19" i="46"/>
  <c r="L11" i="46"/>
  <c r="AN22" i="45"/>
  <c r="AN18" i="45"/>
  <c r="AN11" i="45"/>
  <c r="J18" i="44"/>
  <c r="L18" i="44"/>
  <c r="J11" i="44"/>
  <c r="L20" i="44"/>
  <c r="J19" i="44"/>
  <c r="L11" i="44"/>
  <c r="AN24" i="43"/>
  <c r="AN18" i="43"/>
  <c r="J20" i="42"/>
  <c r="L18" i="42"/>
  <c r="J17" i="42"/>
  <c r="J11" i="42"/>
  <c r="L20" i="42"/>
  <c r="J19" i="42"/>
  <c r="L11" i="42"/>
  <c r="AN24" i="41"/>
  <c r="AN11" i="41"/>
  <c r="J17" i="40"/>
  <c r="J18" i="40"/>
  <c r="L18" i="40"/>
  <c r="J11" i="40"/>
  <c r="L20" i="40"/>
  <c r="J19" i="40"/>
  <c r="L11" i="40"/>
  <c r="AN22" i="39"/>
  <c r="AN18" i="39"/>
  <c r="AN11" i="39"/>
  <c r="L19" i="38"/>
  <c r="J20" i="38"/>
  <c r="L18" i="38"/>
  <c r="J11" i="38"/>
  <c r="J17" i="38"/>
  <c r="L20" i="38"/>
  <c r="L11" i="38"/>
  <c r="AN22" i="37"/>
  <c r="AN18" i="37"/>
  <c r="F19" i="36"/>
  <c r="L19" i="36" s="1"/>
  <c r="AN24" i="35"/>
  <c r="F20" i="36"/>
  <c r="J20" i="36" s="1"/>
  <c r="AN18" i="35"/>
  <c r="F17" i="36"/>
  <c r="L17" i="36" s="1"/>
  <c r="F18" i="36"/>
  <c r="J18" i="36" s="1"/>
  <c r="AN11" i="37"/>
  <c r="J11" i="36"/>
  <c r="L11" i="36"/>
  <c r="AN11" i="35"/>
  <c r="L21" i="34"/>
  <c r="J18" i="34"/>
  <c r="L21" i="16"/>
  <c r="J17" i="16"/>
  <c r="L21" i="54"/>
  <c r="L21" i="52"/>
  <c r="L21" i="50"/>
  <c r="L21" i="48"/>
  <c r="L18" i="34"/>
  <c r="J19" i="34"/>
  <c r="L17" i="34"/>
  <c r="J11" i="34"/>
  <c r="AN22" i="33"/>
  <c r="AN20" i="33"/>
  <c r="AN11" i="33"/>
  <c r="L17" i="16"/>
  <c r="J19" i="16"/>
  <c r="J11" i="16"/>
  <c r="L19" i="16"/>
  <c r="J18" i="16"/>
  <c r="L11" i="16"/>
  <c r="AN22" i="14"/>
  <c r="AN20" i="14"/>
  <c r="AN11" i="14"/>
  <c r="L20" i="36" l="1"/>
  <c r="L18" i="36"/>
  <c r="J19" i="36"/>
  <c r="J17" i="36"/>
  <c r="C17" i="54" l="1"/>
  <c r="D17" i="54"/>
  <c r="E17" i="54"/>
  <c r="F17" i="54"/>
  <c r="L17" i="54" s="1"/>
  <c r="H17" i="54"/>
  <c r="N17" i="54"/>
  <c r="O17" i="54"/>
  <c r="P17" i="54"/>
  <c r="R17" i="54"/>
  <c r="C18" i="54"/>
  <c r="D18" i="54"/>
  <c r="E18" i="54"/>
  <c r="F18" i="54"/>
  <c r="L18" i="54" s="1"/>
  <c r="H18" i="54"/>
  <c r="N18" i="54"/>
  <c r="O18" i="54"/>
  <c r="P18" i="54"/>
  <c r="R18" i="54"/>
  <c r="C19" i="54"/>
  <c r="D19" i="54"/>
  <c r="E19" i="54"/>
  <c r="F19" i="54"/>
  <c r="L19" i="54" s="1"/>
  <c r="H19" i="54"/>
  <c r="N19" i="54"/>
  <c r="O19" i="54"/>
  <c r="P19" i="54"/>
  <c r="R19" i="54"/>
  <c r="C20" i="54"/>
  <c r="D20" i="54"/>
  <c r="E20" i="54"/>
  <c r="F20" i="54"/>
  <c r="L20" i="54" s="1"/>
  <c r="H20" i="54"/>
  <c r="N20" i="54"/>
  <c r="O20" i="54"/>
  <c r="P20" i="54"/>
  <c r="R20" i="54"/>
  <c r="C22" i="54"/>
  <c r="D22" i="54"/>
  <c r="E22" i="54"/>
  <c r="F22" i="54"/>
  <c r="L22" i="54" s="1"/>
  <c r="H22" i="54"/>
  <c r="N22" i="54"/>
  <c r="O22" i="54"/>
  <c r="P22" i="54"/>
  <c r="R22" i="54"/>
  <c r="C11" i="54"/>
  <c r="D11" i="54"/>
  <c r="E11" i="54"/>
  <c r="F11" i="54"/>
  <c r="L11" i="54" s="1"/>
  <c r="H11" i="54"/>
  <c r="N11" i="54"/>
  <c r="O11" i="54"/>
  <c r="P11" i="54"/>
  <c r="R11" i="54"/>
  <c r="C12" i="54"/>
  <c r="D12" i="54"/>
  <c r="E12" i="54"/>
  <c r="F12" i="54"/>
  <c r="L12" i="54" s="1"/>
  <c r="H12" i="54"/>
  <c r="N12" i="54"/>
  <c r="O12" i="54"/>
  <c r="P12" i="54"/>
  <c r="R12" i="54"/>
  <c r="AL18" i="53"/>
  <c r="AK18" i="53"/>
  <c r="AJ18" i="53"/>
  <c r="AM18" i="53" s="1"/>
  <c r="D18" i="53"/>
  <c r="C18" i="53"/>
  <c r="AL22" i="53"/>
  <c r="AK22" i="53"/>
  <c r="AJ22" i="53"/>
  <c r="D22" i="53"/>
  <c r="C22" i="53"/>
  <c r="AL20" i="53"/>
  <c r="AK20" i="53"/>
  <c r="AJ20" i="53"/>
  <c r="D20" i="53"/>
  <c r="C20" i="53"/>
  <c r="AL11" i="53"/>
  <c r="AK11" i="53"/>
  <c r="AJ11" i="53"/>
  <c r="AM11" i="53" s="1"/>
  <c r="D11" i="53"/>
  <c r="C11" i="53"/>
  <c r="C17" i="52"/>
  <c r="D17" i="52"/>
  <c r="E17" i="52"/>
  <c r="F17" i="52"/>
  <c r="L17" i="52" s="1"/>
  <c r="H17" i="52"/>
  <c r="J17" i="52" s="1"/>
  <c r="N17" i="52"/>
  <c r="O17" i="52"/>
  <c r="P17" i="52"/>
  <c r="R17" i="52"/>
  <c r="C18" i="52"/>
  <c r="D18" i="52"/>
  <c r="E18" i="52"/>
  <c r="F18" i="52"/>
  <c r="L18" i="52" s="1"/>
  <c r="H18" i="52"/>
  <c r="J18" i="52" s="1"/>
  <c r="N18" i="52"/>
  <c r="O18" i="52"/>
  <c r="P18" i="52"/>
  <c r="R18" i="52"/>
  <c r="C19" i="52"/>
  <c r="D19" i="52"/>
  <c r="E19" i="52"/>
  <c r="F19" i="52"/>
  <c r="L19" i="52" s="1"/>
  <c r="H19" i="52"/>
  <c r="N19" i="52"/>
  <c r="O19" i="52"/>
  <c r="P19" i="52"/>
  <c r="R19" i="52"/>
  <c r="C20" i="52"/>
  <c r="D20" i="52"/>
  <c r="E20" i="52"/>
  <c r="F20" i="52"/>
  <c r="L20" i="52" s="1"/>
  <c r="H20" i="52"/>
  <c r="N20" i="52"/>
  <c r="O20" i="52"/>
  <c r="P20" i="52"/>
  <c r="R20" i="52"/>
  <c r="C22" i="52"/>
  <c r="D22" i="52"/>
  <c r="E22" i="52"/>
  <c r="F22" i="52"/>
  <c r="L22" i="52" s="1"/>
  <c r="H22" i="52"/>
  <c r="J22" i="52" s="1"/>
  <c r="N22" i="52"/>
  <c r="O22" i="52"/>
  <c r="P22" i="52"/>
  <c r="R22" i="52"/>
  <c r="C11" i="52"/>
  <c r="D11" i="52"/>
  <c r="E11" i="52"/>
  <c r="F11" i="52"/>
  <c r="L11" i="52" s="1"/>
  <c r="N11" i="52"/>
  <c r="O11" i="52"/>
  <c r="P11" i="52"/>
  <c r="R11" i="52"/>
  <c r="C12" i="52"/>
  <c r="D12" i="52"/>
  <c r="E12" i="52"/>
  <c r="F12" i="52"/>
  <c r="L12" i="52" s="1"/>
  <c r="N12" i="52"/>
  <c r="O12" i="52"/>
  <c r="P12" i="52"/>
  <c r="R12" i="52"/>
  <c r="AM18" i="51"/>
  <c r="AL18" i="51"/>
  <c r="AK18" i="51"/>
  <c r="AN18" i="51" s="1"/>
  <c r="D18" i="51"/>
  <c r="C18" i="51"/>
  <c r="AM22" i="51"/>
  <c r="AL22" i="51"/>
  <c r="AK22" i="51"/>
  <c r="D22" i="51"/>
  <c r="C22" i="51"/>
  <c r="AM20" i="51"/>
  <c r="AL20" i="51"/>
  <c r="AK20" i="51"/>
  <c r="D20" i="51"/>
  <c r="C20" i="51"/>
  <c r="AM11" i="51"/>
  <c r="H11" i="52" s="1"/>
  <c r="AL11" i="51"/>
  <c r="AK11" i="51"/>
  <c r="D11" i="51"/>
  <c r="C11" i="51"/>
  <c r="C17" i="50"/>
  <c r="D17" i="50"/>
  <c r="E17" i="50"/>
  <c r="F17" i="50"/>
  <c r="L17" i="50" s="1"/>
  <c r="H17" i="50"/>
  <c r="J17" i="50" s="1"/>
  <c r="N17" i="50"/>
  <c r="O17" i="50"/>
  <c r="P17" i="50"/>
  <c r="R17" i="50"/>
  <c r="C18" i="50"/>
  <c r="D18" i="50"/>
  <c r="E18" i="50"/>
  <c r="F18" i="50"/>
  <c r="L18" i="50" s="1"/>
  <c r="H18" i="50"/>
  <c r="N18" i="50"/>
  <c r="O18" i="50"/>
  <c r="P18" i="50"/>
  <c r="R18" i="50"/>
  <c r="C19" i="50"/>
  <c r="D19" i="50"/>
  <c r="E19" i="50"/>
  <c r="F19" i="50"/>
  <c r="L19" i="50" s="1"/>
  <c r="H19" i="50"/>
  <c r="N19" i="50"/>
  <c r="O19" i="50"/>
  <c r="P19" i="50"/>
  <c r="R19" i="50"/>
  <c r="C20" i="50"/>
  <c r="D20" i="50"/>
  <c r="E20" i="50"/>
  <c r="F20" i="50"/>
  <c r="L20" i="50" s="1"/>
  <c r="H20" i="50"/>
  <c r="N20" i="50"/>
  <c r="O20" i="50"/>
  <c r="P20" i="50"/>
  <c r="R20" i="50"/>
  <c r="C22" i="50"/>
  <c r="D22" i="50"/>
  <c r="E22" i="50"/>
  <c r="F22" i="50"/>
  <c r="L22" i="50" s="1"/>
  <c r="H22" i="50"/>
  <c r="N22" i="50"/>
  <c r="O22" i="50"/>
  <c r="P22" i="50"/>
  <c r="R22" i="50"/>
  <c r="C11" i="50"/>
  <c r="D11" i="50"/>
  <c r="E11" i="50"/>
  <c r="F11" i="50"/>
  <c r="L11" i="50" s="1"/>
  <c r="H11" i="50"/>
  <c r="N11" i="50"/>
  <c r="O11" i="50"/>
  <c r="P11" i="50"/>
  <c r="R11" i="50"/>
  <c r="C12" i="50"/>
  <c r="D12" i="50"/>
  <c r="E12" i="50"/>
  <c r="F12" i="50"/>
  <c r="L12" i="50" s="1"/>
  <c r="H12" i="50"/>
  <c r="N12" i="50"/>
  <c r="O12" i="50"/>
  <c r="P12" i="50"/>
  <c r="R12" i="50"/>
  <c r="AK18" i="49"/>
  <c r="AJ18" i="49"/>
  <c r="AI18" i="49"/>
  <c r="AL18" i="49" s="1"/>
  <c r="D18" i="49"/>
  <c r="C18" i="49"/>
  <c r="AK22" i="49"/>
  <c r="AJ22" i="49"/>
  <c r="AI22" i="49"/>
  <c r="D22" i="49"/>
  <c r="C22" i="49"/>
  <c r="AK20" i="49"/>
  <c r="AJ20" i="49"/>
  <c r="AI20" i="49"/>
  <c r="AL20" i="49" s="1"/>
  <c r="D20" i="49"/>
  <c r="C20" i="49"/>
  <c r="AK11" i="49"/>
  <c r="AJ11" i="49"/>
  <c r="AI11" i="49"/>
  <c r="AL11" i="49" s="1"/>
  <c r="D11" i="49"/>
  <c r="C11" i="49"/>
  <c r="R18" i="48"/>
  <c r="P18" i="48"/>
  <c r="O18" i="48"/>
  <c r="N18" i="48"/>
  <c r="H18" i="48"/>
  <c r="F18" i="48"/>
  <c r="E18" i="48"/>
  <c r="D18" i="48"/>
  <c r="C18" i="48"/>
  <c r="R17" i="48"/>
  <c r="P17" i="48"/>
  <c r="O17" i="48"/>
  <c r="N17" i="48"/>
  <c r="H17" i="48"/>
  <c r="F17" i="48"/>
  <c r="L17" i="48" s="1"/>
  <c r="E17" i="48"/>
  <c r="D17" i="48"/>
  <c r="C17" i="48"/>
  <c r="R16" i="48"/>
  <c r="P16" i="48"/>
  <c r="O16" i="48"/>
  <c r="N16" i="48"/>
  <c r="H16" i="48"/>
  <c r="F16" i="48"/>
  <c r="E16" i="48"/>
  <c r="D16" i="48"/>
  <c r="C16" i="48"/>
  <c r="AM18" i="47"/>
  <c r="AL18" i="47"/>
  <c r="AK18" i="47"/>
  <c r="AN18" i="47" s="1"/>
  <c r="D18" i="47"/>
  <c r="C18" i="47"/>
  <c r="AM22" i="47"/>
  <c r="AL22" i="47"/>
  <c r="AK22" i="47"/>
  <c r="D22" i="47"/>
  <c r="C22" i="47"/>
  <c r="AM20" i="47"/>
  <c r="AL20" i="47"/>
  <c r="AK20" i="47"/>
  <c r="D20" i="47"/>
  <c r="C20" i="47"/>
  <c r="AM11" i="47"/>
  <c r="AL11" i="47"/>
  <c r="AK11" i="47"/>
  <c r="D11" i="47"/>
  <c r="C11" i="47"/>
  <c r="C11" i="48"/>
  <c r="D11" i="48"/>
  <c r="E11" i="48"/>
  <c r="N11" i="48"/>
  <c r="O11" i="48"/>
  <c r="P11" i="48"/>
  <c r="R11" i="48"/>
  <c r="C12" i="48"/>
  <c r="D12" i="48"/>
  <c r="E12" i="48"/>
  <c r="F12" i="48"/>
  <c r="L12" i="48" s="1"/>
  <c r="N12" i="48"/>
  <c r="O12" i="48"/>
  <c r="P12" i="48"/>
  <c r="R12" i="48"/>
  <c r="A21" i="15"/>
  <c r="A16" i="15"/>
  <c r="A17" i="15"/>
  <c r="A18" i="15"/>
  <c r="A19" i="15"/>
  <c r="A20" i="15"/>
  <c r="J11" i="54" l="1"/>
  <c r="J20" i="54"/>
  <c r="J18" i="54"/>
  <c r="J22" i="54"/>
  <c r="J17" i="54"/>
  <c r="J12" i="54"/>
  <c r="J19" i="54"/>
  <c r="J19" i="52"/>
  <c r="J11" i="50"/>
  <c r="J22" i="50"/>
  <c r="J18" i="50"/>
  <c r="J20" i="50"/>
  <c r="J19" i="50"/>
  <c r="J18" i="48"/>
  <c r="J16" i="48"/>
  <c r="L16" i="48"/>
  <c r="AM22" i="53"/>
  <c r="AM20" i="53"/>
  <c r="J20" i="52"/>
  <c r="J11" i="52"/>
  <c r="AN22" i="51"/>
  <c r="AN20" i="51"/>
  <c r="AN11" i="51"/>
  <c r="J12" i="50"/>
  <c r="AL22" i="49"/>
  <c r="L18" i="48"/>
  <c r="J17" i="48"/>
  <c r="AN22" i="47"/>
  <c r="AN20" i="47"/>
  <c r="AN11" i="47"/>
  <c r="C21" i="46" l="1"/>
  <c r="D21" i="46"/>
  <c r="E21" i="46"/>
  <c r="N21" i="46"/>
  <c r="O21" i="46"/>
  <c r="P21" i="46"/>
  <c r="R21" i="46"/>
  <c r="C22" i="46"/>
  <c r="D22" i="46"/>
  <c r="E22" i="46"/>
  <c r="N22" i="46"/>
  <c r="O22" i="46"/>
  <c r="P22" i="46"/>
  <c r="R22" i="46"/>
  <c r="AL28" i="45"/>
  <c r="D28" i="45"/>
  <c r="C28" i="45"/>
  <c r="AL26" i="45"/>
  <c r="D26" i="45"/>
  <c r="C26" i="45"/>
  <c r="AL16" i="45"/>
  <c r="D16" i="45"/>
  <c r="C16" i="45"/>
  <c r="C21" i="44"/>
  <c r="D21" i="44"/>
  <c r="E21" i="44"/>
  <c r="N21" i="44"/>
  <c r="O21" i="44"/>
  <c r="P21" i="44"/>
  <c r="R21" i="44"/>
  <c r="C22" i="44"/>
  <c r="D22" i="44"/>
  <c r="E22" i="44"/>
  <c r="N22" i="44"/>
  <c r="O22" i="44"/>
  <c r="P22" i="44"/>
  <c r="R22" i="44"/>
  <c r="AL28" i="43"/>
  <c r="D28" i="43"/>
  <c r="C28" i="43"/>
  <c r="AL26" i="43"/>
  <c r="D26" i="43"/>
  <c r="C26" i="43"/>
  <c r="AL16" i="43"/>
  <c r="D16" i="43"/>
  <c r="C16" i="43"/>
  <c r="C21" i="42"/>
  <c r="D21" i="42"/>
  <c r="E21" i="42"/>
  <c r="N21" i="42"/>
  <c r="O21" i="42"/>
  <c r="P21" i="42"/>
  <c r="R21" i="42"/>
  <c r="C22" i="42"/>
  <c r="D22" i="42"/>
  <c r="E22" i="42"/>
  <c r="N22" i="42"/>
  <c r="O22" i="42"/>
  <c r="P22" i="42"/>
  <c r="R22" i="42"/>
  <c r="AL28" i="41"/>
  <c r="D28" i="41"/>
  <c r="C28" i="41"/>
  <c r="AL26" i="41"/>
  <c r="D26" i="41"/>
  <c r="C26" i="41"/>
  <c r="AL16" i="41"/>
  <c r="D16" i="41"/>
  <c r="C16" i="41"/>
  <c r="C21" i="40"/>
  <c r="D21" i="40"/>
  <c r="E21" i="40"/>
  <c r="N21" i="40"/>
  <c r="O21" i="40"/>
  <c r="P21" i="40"/>
  <c r="R21" i="40"/>
  <c r="C22" i="40"/>
  <c r="D22" i="40"/>
  <c r="E22" i="40"/>
  <c r="N22" i="40"/>
  <c r="O22" i="40"/>
  <c r="P22" i="40"/>
  <c r="R22" i="40"/>
  <c r="AL28" i="39"/>
  <c r="D28" i="39"/>
  <c r="C28" i="39"/>
  <c r="AL26" i="39"/>
  <c r="D26" i="39"/>
  <c r="C26" i="39"/>
  <c r="AL16" i="39"/>
  <c r="D16" i="39"/>
  <c r="C16" i="39"/>
  <c r="C21" i="38"/>
  <c r="D21" i="38"/>
  <c r="E21" i="38"/>
  <c r="N21" i="38"/>
  <c r="O21" i="38"/>
  <c r="P21" i="38"/>
  <c r="R21" i="38"/>
  <c r="C22" i="38"/>
  <c r="D22" i="38"/>
  <c r="E22" i="38"/>
  <c r="N22" i="38"/>
  <c r="O22" i="38"/>
  <c r="P22" i="38"/>
  <c r="R22" i="38"/>
  <c r="AL28" i="37"/>
  <c r="D28" i="37"/>
  <c r="C28" i="37"/>
  <c r="AL26" i="37"/>
  <c r="D26" i="37"/>
  <c r="C26" i="37"/>
  <c r="AL16" i="37"/>
  <c r="D16" i="37"/>
  <c r="C16" i="37"/>
  <c r="C21" i="36"/>
  <c r="D21" i="36"/>
  <c r="E21" i="36"/>
  <c r="N21" i="36"/>
  <c r="O21" i="36"/>
  <c r="P21" i="36"/>
  <c r="R21" i="36"/>
  <c r="C22" i="36"/>
  <c r="D22" i="36"/>
  <c r="E22" i="36"/>
  <c r="N22" i="36"/>
  <c r="O22" i="36"/>
  <c r="P22" i="36"/>
  <c r="R22" i="36"/>
  <c r="AL28" i="35"/>
  <c r="D28" i="35"/>
  <c r="C28" i="35"/>
  <c r="AL26" i="35"/>
  <c r="D26" i="35"/>
  <c r="C26" i="35"/>
  <c r="AL16" i="35"/>
  <c r="D16" i="35"/>
  <c r="C16" i="35"/>
  <c r="C20" i="34"/>
  <c r="D20" i="34"/>
  <c r="E20" i="34"/>
  <c r="N20" i="34"/>
  <c r="O20" i="34"/>
  <c r="P20" i="34"/>
  <c r="R20" i="34"/>
  <c r="C22" i="34"/>
  <c r="D22" i="34"/>
  <c r="E22" i="34"/>
  <c r="N22" i="34"/>
  <c r="O22" i="34"/>
  <c r="P22" i="34"/>
  <c r="R22" i="34"/>
  <c r="AL28" i="33"/>
  <c r="D28" i="33"/>
  <c r="C28" i="33"/>
  <c r="AL24" i="33"/>
  <c r="D24" i="33"/>
  <c r="C24" i="33"/>
  <c r="AL16" i="33"/>
  <c r="D16" i="33"/>
  <c r="C16" i="33"/>
  <c r="C20" i="16"/>
  <c r="D20" i="16"/>
  <c r="E20" i="16"/>
  <c r="N20" i="16"/>
  <c r="O20" i="16"/>
  <c r="P20" i="16"/>
  <c r="R20" i="16"/>
  <c r="C22" i="16"/>
  <c r="D22" i="16"/>
  <c r="E22" i="16"/>
  <c r="N22" i="16"/>
  <c r="O22" i="16"/>
  <c r="P22" i="16"/>
  <c r="R22" i="16"/>
  <c r="AL28" i="14"/>
  <c r="D28" i="14"/>
  <c r="C28" i="14"/>
  <c r="AL24" i="14"/>
  <c r="D24" i="14"/>
  <c r="C24" i="14"/>
  <c r="AL16" i="14"/>
  <c r="D16" i="14"/>
  <c r="C16" i="14"/>
  <c r="C24" i="53"/>
  <c r="C28" i="53"/>
  <c r="AK28" i="53"/>
  <c r="D28" i="53"/>
  <c r="AK24" i="53"/>
  <c r="D24" i="53"/>
  <c r="AK16" i="53"/>
  <c r="D16" i="53"/>
  <c r="C16" i="53"/>
  <c r="C24" i="51"/>
  <c r="C28" i="51"/>
  <c r="AL28" i="51"/>
  <c r="D28" i="51"/>
  <c r="AL24" i="51"/>
  <c r="D24" i="51"/>
  <c r="AL16" i="51"/>
  <c r="D16" i="51"/>
  <c r="C16" i="51"/>
  <c r="AJ28" i="49"/>
  <c r="D28" i="49"/>
  <c r="C28" i="49"/>
  <c r="R16" i="54"/>
  <c r="P16" i="54"/>
  <c r="O16" i="54"/>
  <c r="O24" i="54" s="1"/>
  <c r="N16" i="54"/>
  <c r="E16" i="54"/>
  <c r="D16" i="54"/>
  <c r="C16" i="54"/>
  <c r="R10" i="54"/>
  <c r="P10" i="54"/>
  <c r="O10" i="54"/>
  <c r="N10" i="54"/>
  <c r="E10" i="54"/>
  <c r="D10" i="54"/>
  <c r="C10" i="54"/>
  <c r="E4" i="54"/>
  <c r="S26" i="54" s="1"/>
  <c r="AK13" i="53"/>
  <c r="D13" i="53"/>
  <c r="C13" i="53"/>
  <c r="AK9" i="53"/>
  <c r="D9" i="53"/>
  <c r="C9" i="53"/>
  <c r="F5" i="53"/>
  <c r="F6" i="53" s="1"/>
  <c r="S1" i="53"/>
  <c r="R16" i="52"/>
  <c r="R24" i="52" s="1"/>
  <c r="P16" i="52"/>
  <c r="P24" i="52" s="1"/>
  <c r="O16" i="52"/>
  <c r="N16" i="52"/>
  <c r="E16" i="52"/>
  <c r="E24" i="52" s="1"/>
  <c r="D16" i="52"/>
  <c r="C16" i="52"/>
  <c r="R10" i="52"/>
  <c r="P10" i="52"/>
  <c r="O10" i="52"/>
  <c r="N10" i="52"/>
  <c r="E10" i="52"/>
  <c r="D10" i="52"/>
  <c r="C10" i="52"/>
  <c r="E4" i="52"/>
  <c r="S26" i="52" s="1"/>
  <c r="AL13" i="51"/>
  <c r="D13" i="51"/>
  <c r="C13" i="51"/>
  <c r="AL9" i="51"/>
  <c r="D9" i="51"/>
  <c r="C9" i="51"/>
  <c r="F5" i="51"/>
  <c r="F6" i="51" s="1"/>
  <c r="S1" i="51"/>
  <c r="R16" i="50"/>
  <c r="P16" i="50"/>
  <c r="O16" i="50"/>
  <c r="N16" i="50"/>
  <c r="E16" i="50"/>
  <c r="D16" i="50"/>
  <c r="C16" i="50"/>
  <c r="R10" i="50"/>
  <c r="P10" i="50"/>
  <c r="O10" i="50"/>
  <c r="N10" i="50"/>
  <c r="E10" i="50"/>
  <c r="D10" i="50"/>
  <c r="C10" i="50"/>
  <c r="E4" i="50"/>
  <c r="S26" i="50" s="1"/>
  <c r="AJ24" i="49"/>
  <c r="D24" i="49"/>
  <c r="C24" i="49"/>
  <c r="AJ16" i="49"/>
  <c r="D16" i="49"/>
  <c r="C16" i="49"/>
  <c r="AJ13" i="49"/>
  <c r="D13" i="49"/>
  <c r="C13" i="49"/>
  <c r="AJ9" i="49"/>
  <c r="D9" i="49"/>
  <c r="C9" i="49"/>
  <c r="F5" i="49"/>
  <c r="F6" i="49" s="1"/>
  <c r="S1" i="49"/>
  <c r="R22" i="48"/>
  <c r="P22" i="48"/>
  <c r="O22" i="48"/>
  <c r="N22" i="48"/>
  <c r="E22" i="48"/>
  <c r="D22" i="48"/>
  <c r="C22" i="48"/>
  <c r="R20" i="48"/>
  <c r="P20" i="48"/>
  <c r="O20" i="48"/>
  <c r="N20" i="48"/>
  <c r="E20" i="48"/>
  <c r="D20" i="48"/>
  <c r="C20" i="48"/>
  <c r="R19" i="48"/>
  <c r="P19" i="48"/>
  <c r="O19" i="48"/>
  <c r="N19" i="48"/>
  <c r="E19" i="48"/>
  <c r="E24" i="48" s="1"/>
  <c r="D19" i="48"/>
  <c r="C19" i="48"/>
  <c r="R10" i="48"/>
  <c r="P10" i="48"/>
  <c r="O10" i="48"/>
  <c r="N10" i="48"/>
  <c r="E10" i="48"/>
  <c r="D10" i="48"/>
  <c r="C10" i="48"/>
  <c r="E4" i="48"/>
  <c r="S26" i="48" s="1"/>
  <c r="AL28" i="47"/>
  <c r="D28" i="47"/>
  <c r="C28" i="47"/>
  <c r="AL24" i="47"/>
  <c r="D24" i="47"/>
  <c r="C24" i="47"/>
  <c r="AL16" i="47"/>
  <c r="D16" i="47"/>
  <c r="C16" i="47"/>
  <c r="AL13" i="47"/>
  <c r="D13" i="47"/>
  <c r="C13" i="47"/>
  <c r="AL9" i="47"/>
  <c r="D9" i="47"/>
  <c r="C9" i="47"/>
  <c r="F5" i="47"/>
  <c r="F6" i="47" s="1"/>
  <c r="S1" i="47"/>
  <c r="E24" i="50" l="1"/>
  <c r="R24" i="50"/>
  <c r="E24" i="54"/>
  <c r="R24" i="54"/>
  <c r="N24" i="54"/>
  <c r="D1" i="50"/>
  <c r="R14" i="52"/>
  <c r="N14" i="50"/>
  <c r="P14" i="54"/>
  <c r="N14" i="52"/>
  <c r="O14" i="54"/>
  <c r="N14" i="54"/>
  <c r="R14" i="54"/>
  <c r="P24" i="54"/>
  <c r="D1" i="52"/>
  <c r="D1" i="48"/>
  <c r="D1" i="54"/>
  <c r="O14" i="52"/>
  <c r="N24" i="52"/>
  <c r="G5" i="53"/>
  <c r="E14" i="54"/>
  <c r="R24" i="48"/>
  <c r="R14" i="50"/>
  <c r="P24" i="50"/>
  <c r="P14" i="52"/>
  <c r="O24" i="52"/>
  <c r="O14" i="50"/>
  <c r="N24" i="50"/>
  <c r="G5" i="51"/>
  <c r="E14" i="52"/>
  <c r="P24" i="48"/>
  <c r="P14" i="50"/>
  <c r="O24" i="50"/>
  <c r="N24" i="48"/>
  <c r="G5" i="49"/>
  <c r="E14" i="50"/>
  <c r="O24" i="48"/>
  <c r="G5" i="47"/>
  <c r="K28" i="15"/>
  <c r="G6" i="53" l="1"/>
  <c r="H5" i="53"/>
  <c r="G6" i="51"/>
  <c r="H5" i="51"/>
  <c r="G6" i="49"/>
  <c r="H5" i="49"/>
  <c r="H5" i="47"/>
  <c r="G6" i="47"/>
  <c r="K29" i="15"/>
  <c r="I5" i="53" l="1"/>
  <c r="H6" i="53"/>
  <c r="I5" i="51"/>
  <c r="H6" i="51"/>
  <c r="I5" i="49"/>
  <c r="H6" i="49"/>
  <c r="I5" i="47"/>
  <c r="H6" i="47"/>
  <c r="R16" i="46"/>
  <c r="P16" i="46"/>
  <c r="O16" i="46"/>
  <c r="N16" i="46"/>
  <c r="E16" i="46"/>
  <c r="D16" i="46"/>
  <c r="C16" i="46"/>
  <c r="R12" i="46"/>
  <c r="P12" i="46"/>
  <c r="O12" i="46"/>
  <c r="N12" i="46"/>
  <c r="E12" i="46"/>
  <c r="D12" i="46"/>
  <c r="C12" i="46"/>
  <c r="R10" i="46"/>
  <c r="P10" i="46"/>
  <c r="O10" i="46"/>
  <c r="N10" i="46"/>
  <c r="E10" i="46"/>
  <c r="D10" i="46"/>
  <c r="C10" i="46"/>
  <c r="E4" i="46"/>
  <c r="S26" i="46" s="1"/>
  <c r="AL13" i="45"/>
  <c r="D13" i="45"/>
  <c r="C13" i="45"/>
  <c r="AL9" i="45"/>
  <c r="D9" i="45"/>
  <c r="C9" i="45"/>
  <c r="F5" i="45"/>
  <c r="G5" i="45" s="1"/>
  <c r="S1" i="45"/>
  <c r="R16" i="44"/>
  <c r="P16" i="44"/>
  <c r="O16" i="44"/>
  <c r="N16" i="44"/>
  <c r="E16" i="44"/>
  <c r="D16" i="44"/>
  <c r="C16" i="44"/>
  <c r="R12" i="44"/>
  <c r="P12" i="44"/>
  <c r="O12" i="44"/>
  <c r="N12" i="44"/>
  <c r="E12" i="44"/>
  <c r="D12" i="44"/>
  <c r="C12" i="44"/>
  <c r="R10" i="44"/>
  <c r="P10" i="44"/>
  <c r="O10" i="44"/>
  <c r="N10" i="44"/>
  <c r="E10" i="44"/>
  <c r="D10" i="44"/>
  <c r="C10" i="44"/>
  <c r="E4" i="44"/>
  <c r="S26" i="44" s="1"/>
  <c r="AL13" i="43"/>
  <c r="D13" i="43"/>
  <c r="C13" i="43"/>
  <c r="AL9" i="43"/>
  <c r="D9" i="43"/>
  <c r="C9" i="43"/>
  <c r="F5" i="43"/>
  <c r="G5" i="43" s="1"/>
  <c r="S1" i="43"/>
  <c r="R16" i="42"/>
  <c r="P16" i="42"/>
  <c r="O16" i="42"/>
  <c r="N16" i="42"/>
  <c r="E16" i="42"/>
  <c r="D16" i="42"/>
  <c r="C16" i="42"/>
  <c r="R12" i="42"/>
  <c r="P12" i="42"/>
  <c r="O12" i="42"/>
  <c r="N12" i="42"/>
  <c r="E12" i="42"/>
  <c r="D12" i="42"/>
  <c r="C12" i="42"/>
  <c r="R10" i="42"/>
  <c r="P10" i="42"/>
  <c r="O10" i="42"/>
  <c r="N10" i="42"/>
  <c r="E10" i="42"/>
  <c r="D10" i="42"/>
  <c r="C10" i="42"/>
  <c r="E4" i="42"/>
  <c r="S26" i="42" s="1"/>
  <c r="AL13" i="41"/>
  <c r="D13" i="41"/>
  <c r="C13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4" i="42"/>
  <c r="R24" i="42"/>
  <c r="E24" i="44"/>
  <c r="R24" i="44"/>
  <c r="F6" i="45"/>
  <c r="F6" i="41"/>
  <c r="N14" i="42"/>
  <c r="E24" i="46"/>
  <c r="P24" i="42"/>
  <c r="D1" i="42"/>
  <c r="P24" i="44"/>
  <c r="D1" i="44"/>
  <c r="O24" i="46"/>
  <c r="P24" i="46"/>
  <c r="N24" i="46"/>
  <c r="R24" i="46"/>
  <c r="D1" i="46"/>
  <c r="G6" i="45"/>
  <c r="H5" i="45"/>
  <c r="N24" i="44"/>
  <c r="O24" i="44"/>
  <c r="G6" i="43"/>
  <c r="H5" i="43"/>
  <c r="N24" i="42"/>
  <c r="O14" i="42"/>
  <c r="P14" i="42"/>
  <c r="R14" i="42"/>
  <c r="O24" i="42"/>
  <c r="G6" i="41"/>
  <c r="H5" i="41"/>
  <c r="E14" i="42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0" i="40"/>
  <c r="P10" i="40"/>
  <c r="O10" i="40"/>
  <c r="N10" i="40"/>
  <c r="E10" i="40"/>
  <c r="D10" i="40"/>
  <c r="C10" i="40"/>
  <c r="E4" i="40"/>
  <c r="S26" i="40" s="1"/>
  <c r="AL13" i="39"/>
  <c r="D13" i="39"/>
  <c r="C13" i="39"/>
  <c r="AL9" i="39"/>
  <c r="D9" i="39"/>
  <c r="C9" i="39"/>
  <c r="F5" i="39"/>
  <c r="G5" i="39" s="1"/>
  <c r="S1" i="39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0" i="38"/>
  <c r="P10" i="38"/>
  <c r="O10" i="38"/>
  <c r="N10" i="38"/>
  <c r="E10" i="38"/>
  <c r="D10" i="38"/>
  <c r="C10" i="38"/>
  <c r="E4" i="38"/>
  <c r="S26" i="38" s="1"/>
  <c r="AL13" i="37"/>
  <c r="D13" i="37"/>
  <c r="C13" i="37"/>
  <c r="AL9" i="37"/>
  <c r="D9" i="37"/>
  <c r="C9" i="37"/>
  <c r="F5" i="37"/>
  <c r="F6" i="37" s="1"/>
  <c r="S1" i="37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0" i="36"/>
  <c r="P10" i="36"/>
  <c r="O10" i="36"/>
  <c r="N10" i="36"/>
  <c r="E10" i="36"/>
  <c r="D10" i="36"/>
  <c r="C10" i="36"/>
  <c r="E4" i="36"/>
  <c r="S26" i="36" s="1"/>
  <c r="AL13" i="35"/>
  <c r="D13" i="35"/>
  <c r="C13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4" i="40"/>
  <c r="I5" i="45"/>
  <c r="H6" i="45"/>
  <c r="R14" i="38"/>
  <c r="P24" i="38"/>
  <c r="O14" i="40"/>
  <c r="N24" i="40"/>
  <c r="I5" i="43"/>
  <c r="H6" i="43"/>
  <c r="E24" i="40"/>
  <c r="R24" i="40"/>
  <c r="I5" i="41"/>
  <c r="H6" i="41"/>
  <c r="R14" i="36"/>
  <c r="P24" i="36"/>
  <c r="N14" i="38"/>
  <c r="E24" i="38"/>
  <c r="R24" i="38"/>
  <c r="P14" i="40"/>
  <c r="R14" i="40"/>
  <c r="O24" i="40"/>
  <c r="F6" i="39"/>
  <c r="D1" i="40"/>
  <c r="G6" i="39"/>
  <c r="H5" i="39"/>
  <c r="E14" i="40"/>
  <c r="N14" i="36"/>
  <c r="E24" i="36"/>
  <c r="R24" i="36"/>
  <c r="O14" i="38"/>
  <c r="N24" i="38"/>
  <c r="O14" i="36"/>
  <c r="P14" i="38"/>
  <c r="O24" i="38"/>
  <c r="G5" i="37"/>
  <c r="E14" i="38"/>
  <c r="N24" i="36"/>
  <c r="P14" i="36"/>
  <c r="O24" i="36"/>
  <c r="G5" i="35"/>
  <c r="E14" i="36"/>
  <c r="C12" i="34"/>
  <c r="D12" i="34"/>
  <c r="E12" i="34"/>
  <c r="N12" i="34"/>
  <c r="O12" i="34"/>
  <c r="P12" i="34"/>
  <c r="R12" i="34"/>
  <c r="AL13" i="33"/>
  <c r="D13" i="33"/>
  <c r="C13" i="33"/>
  <c r="C16" i="16"/>
  <c r="D16" i="16"/>
  <c r="E16" i="16"/>
  <c r="N16" i="16"/>
  <c r="O16" i="16"/>
  <c r="P16" i="16"/>
  <c r="R16" i="16"/>
  <c r="C10" i="16"/>
  <c r="D10" i="16"/>
  <c r="E10" i="16"/>
  <c r="N10" i="16"/>
  <c r="O10" i="16"/>
  <c r="P10" i="16"/>
  <c r="R10" i="16"/>
  <c r="C12" i="16"/>
  <c r="D12" i="16"/>
  <c r="E12" i="16"/>
  <c r="N12" i="16"/>
  <c r="O12" i="16"/>
  <c r="P12" i="16"/>
  <c r="R12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4" i="16"/>
  <c r="G6" i="37"/>
  <c r="H5" i="37"/>
  <c r="P24" i="16"/>
  <c r="P14" i="16"/>
  <c r="O24" i="16"/>
  <c r="E24" i="16"/>
  <c r="R24" i="16"/>
  <c r="N24" i="16"/>
  <c r="N14" i="16"/>
  <c r="R14" i="16"/>
  <c r="G6" i="35"/>
  <c r="H5" i="35"/>
  <c r="O14" i="16"/>
  <c r="AL13" i="14"/>
  <c r="D13" i="14"/>
  <c r="C13" i="14"/>
  <c r="A12" i="15"/>
  <c r="A13" i="15"/>
  <c r="A14" i="15"/>
  <c r="A15" i="15"/>
  <c r="A22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24" i="34"/>
  <c r="K6" i="41"/>
  <c r="L5" i="41"/>
  <c r="J6" i="39"/>
  <c r="K5" i="39"/>
  <c r="O24" i="34"/>
  <c r="J5" i="37"/>
  <c r="I6" i="37"/>
  <c r="P24" i="34"/>
  <c r="E24" i="34"/>
  <c r="R24" i="34"/>
  <c r="J5" i="35"/>
  <c r="I6" i="35"/>
  <c r="S26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3" i="15"/>
  <c r="F23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6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8" i="15"/>
  <c r="N106" i="15" s="1"/>
  <c r="M79" i="15"/>
  <c r="N108" i="15" s="1"/>
  <c r="M80" i="15"/>
  <c r="N110" i="15" s="1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50" i="15"/>
  <c r="J24" i="15" a="1"/>
  <c r="J24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2" i="15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102" i="15"/>
  <c r="N104" i="15"/>
  <c r="N50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3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4" i="15" a="1"/>
  <c r="K24" i="15" s="1"/>
  <c r="L24" i="15" a="1"/>
  <c r="L24" i="15" s="1"/>
  <c r="M24" i="15" a="1"/>
  <c r="M24" i="15" s="1"/>
  <c r="N24" i="15" a="1"/>
  <c r="N24" i="15" s="1"/>
  <c r="O24" i="15" a="1"/>
  <c r="O24" i="15" s="1"/>
  <c r="P24" i="15" a="1"/>
  <c r="P24" i="15" s="1"/>
  <c r="Q24" i="15" a="1"/>
  <c r="Q24" i="15" s="1"/>
  <c r="R24" i="15" a="1"/>
  <c r="R24" i="15" s="1"/>
  <c r="S24" i="15" a="1"/>
  <c r="S24" i="15" s="1"/>
  <c r="T24" i="15" a="1"/>
  <c r="T24" i="15" s="1"/>
  <c r="U24" i="15" a="1"/>
  <c r="U24" i="15" s="1"/>
  <c r="U23" i="15"/>
  <c r="K23" i="15"/>
  <c r="L23" i="15"/>
  <c r="M23" i="15"/>
  <c r="N23" i="15"/>
  <c r="O23" i="15"/>
  <c r="P23" i="15"/>
  <c r="Q23" i="15"/>
  <c r="R23" i="15"/>
  <c r="S23" i="15"/>
  <c r="T23" i="15"/>
  <c r="G23" i="15"/>
  <c r="H23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28" i="49" l="1"/>
  <c r="AK28" i="49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28" i="51" l="1"/>
  <c r="AK28" i="51"/>
  <c r="AM16" i="51"/>
  <c r="AM24" i="51"/>
  <c r="AK24" i="51"/>
  <c r="AK16" i="51"/>
  <c r="AL28" i="49"/>
  <c r="AJ24" i="53"/>
  <c r="AL16" i="53"/>
  <c r="H16" i="54" s="1"/>
  <c r="AJ16" i="53"/>
  <c r="AL28" i="53"/>
  <c r="AJ28" i="53"/>
  <c r="AL24" i="53"/>
  <c r="AJ9" i="53"/>
  <c r="AL13" i="53"/>
  <c r="AL9" i="53"/>
  <c r="AJ13" i="53"/>
  <c r="AM9" i="51"/>
  <c r="H10" i="52" s="1"/>
  <c r="AK9" i="51"/>
  <c r="AM13" i="51"/>
  <c r="H12" i="52" s="1"/>
  <c r="J12" i="52" s="1"/>
  <c r="AK13" i="51"/>
  <c r="AK9" i="49"/>
  <c r="AK24" i="49"/>
  <c r="AI13" i="49"/>
  <c r="AI9" i="49"/>
  <c r="AK13" i="49"/>
  <c r="AI24" i="49"/>
  <c r="AI16" i="49"/>
  <c r="F16" i="50" s="1"/>
  <c r="AK16" i="49"/>
  <c r="H16" i="50" s="1"/>
  <c r="AM28" i="47"/>
  <c r="AK9" i="47"/>
  <c r="F10" i="48" s="1"/>
  <c r="AM16" i="47"/>
  <c r="AK28" i="47"/>
  <c r="F22" i="48" s="1"/>
  <c r="AK24" i="47"/>
  <c r="F20" i="48" s="1"/>
  <c r="AM9" i="47"/>
  <c r="AM13" i="47"/>
  <c r="AK13" i="47"/>
  <c r="F11" i="48" s="1"/>
  <c r="L11" i="48" s="1"/>
  <c r="AK16" i="47"/>
  <c r="F19" i="48" s="1"/>
  <c r="AM24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H11" i="48" l="1"/>
  <c r="H12" i="48"/>
  <c r="J12" i="48" s="1"/>
  <c r="J11" i="48"/>
  <c r="AN16" i="51"/>
  <c r="H10" i="54"/>
  <c r="F10" i="54"/>
  <c r="H10" i="50"/>
  <c r="F10" i="50"/>
  <c r="AM16" i="53"/>
  <c r="F16" i="54"/>
  <c r="AM28" i="53"/>
  <c r="H16" i="52"/>
  <c r="AN28" i="51"/>
  <c r="AN24" i="51"/>
  <c r="H10" i="48"/>
  <c r="H22" i="48"/>
  <c r="H20" i="48"/>
  <c r="H19" i="48"/>
  <c r="AM24" i="53"/>
  <c r="AM13" i="53"/>
  <c r="AM9" i="53"/>
  <c r="F16" i="52"/>
  <c r="AN13" i="51"/>
  <c r="AN9" i="51"/>
  <c r="F10" i="52"/>
  <c r="AL16" i="49"/>
  <c r="AL24" i="49"/>
  <c r="AL13" i="49"/>
  <c r="AL9" i="49"/>
  <c r="AN28" i="47"/>
  <c r="AN16" i="47"/>
  <c r="AN24" i="47"/>
  <c r="AN13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6" i="45" l="1"/>
  <c r="AM26" i="45"/>
  <c r="H21" i="46" s="1"/>
  <c r="AM16" i="45"/>
  <c r="AK28" i="45"/>
  <c r="AM28" i="45"/>
  <c r="H22" i="46" s="1"/>
  <c r="AK16" i="45"/>
  <c r="AN16" i="45" s="1"/>
  <c r="AM26" i="43"/>
  <c r="AK28" i="43"/>
  <c r="AK26" i="43"/>
  <c r="AM16" i="43"/>
  <c r="AM28" i="43"/>
  <c r="AK16" i="43"/>
  <c r="AK28" i="41"/>
  <c r="AM26" i="41"/>
  <c r="H21" i="42" s="1"/>
  <c r="AK16" i="41"/>
  <c r="AM16" i="41"/>
  <c r="AM28" i="41"/>
  <c r="H22" i="42" s="1"/>
  <c r="AK26" i="41"/>
  <c r="U2" i="54"/>
  <c r="U2" i="50"/>
  <c r="U2" i="48"/>
  <c r="U2" i="52"/>
  <c r="L10" i="54"/>
  <c r="J10" i="54"/>
  <c r="J16" i="54"/>
  <c r="L16" i="54"/>
  <c r="L10" i="52"/>
  <c r="J10" i="52"/>
  <c r="J16" i="52"/>
  <c r="L16" i="52"/>
  <c r="L10" i="50"/>
  <c r="J10" i="50"/>
  <c r="J16" i="50"/>
  <c r="L16" i="50"/>
  <c r="J19" i="48"/>
  <c r="L19" i="48"/>
  <c r="L10" i="48"/>
  <c r="J10" i="48"/>
  <c r="L20" i="48"/>
  <c r="J20" i="48"/>
  <c r="L22" i="48"/>
  <c r="J22" i="48"/>
  <c r="AK13" i="45"/>
  <c r="AM13" i="45"/>
  <c r="AK9" i="45"/>
  <c r="AM9" i="45"/>
  <c r="H10" i="46" s="1"/>
  <c r="AK13" i="43"/>
  <c r="AM13" i="43"/>
  <c r="AK9" i="43"/>
  <c r="F10" i="44" s="1"/>
  <c r="AM9" i="43"/>
  <c r="H10" i="44" s="1"/>
  <c r="AK13" i="41"/>
  <c r="AK9" i="41"/>
  <c r="AM13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G21" i="54" l="1"/>
  <c r="K21" i="54" s="1"/>
  <c r="M21" i="54" s="1"/>
  <c r="Q21" i="54" s="1"/>
  <c r="S21" i="54" s="1"/>
  <c r="I21" i="54"/>
  <c r="G21" i="52"/>
  <c r="I21" i="52"/>
  <c r="G21" i="50"/>
  <c r="I21" i="50"/>
  <c r="G21" i="48"/>
  <c r="I21" i="48"/>
  <c r="G17" i="54"/>
  <c r="I19" i="54"/>
  <c r="G18" i="54"/>
  <c r="I20" i="54"/>
  <c r="I17" i="54"/>
  <c r="G19" i="54"/>
  <c r="K19" i="54" s="1"/>
  <c r="M19" i="54" s="1"/>
  <c r="Q19" i="54" s="1"/>
  <c r="S19" i="54" s="1"/>
  <c r="I22" i="54"/>
  <c r="I18" i="54"/>
  <c r="G22" i="54"/>
  <c r="G20" i="54"/>
  <c r="K20" i="54" s="1"/>
  <c r="M20" i="54" s="1"/>
  <c r="Q20" i="54" s="1"/>
  <c r="S20" i="54" s="1"/>
  <c r="G11" i="54"/>
  <c r="I11" i="54"/>
  <c r="I12" i="54"/>
  <c r="G12" i="54"/>
  <c r="G17" i="52"/>
  <c r="I19" i="52"/>
  <c r="G18" i="52"/>
  <c r="I20" i="52"/>
  <c r="I17" i="52"/>
  <c r="G19" i="52"/>
  <c r="K19" i="52" s="1"/>
  <c r="M19" i="52" s="1"/>
  <c r="Q19" i="52" s="1"/>
  <c r="S19" i="52" s="1"/>
  <c r="I22" i="52"/>
  <c r="I18" i="52"/>
  <c r="G20" i="52"/>
  <c r="G22" i="52"/>
  <c r="I11" i="52"/>
  <c r="I12" i="52"/>
  <c r="G11" i="52"/>
  <c r="G12" i="52"/>
  <c r="I19" i="50"/>
  <c r="G18" i="50"/>
  <c r="I20" i="50"/>
  <c r="I17" i="50"/>
  <c r="G19" i="50"/>
  <c r="I22" i="50"/>
  <c r="I18" i="50"/>
  <c r="G20" i="50"/>
  <c r="G22" i="50"/>
  <c r="K22" i="50" s="1"/>
  <c r="M22" i="50" s="1"/>
  <c r="Q22" i="50" s="1"/>
  <c r="S22" i="50" s="1"/>
  <c r="G17" i="50"/>
  <c r="K17" i="50" s="1"/>
  <c r="M17" i="50" s="1"/>
  <c r="Q17" i="50" s="1"/>
  <c r="S17" i="50" s="1"/>
  <c r="G11" i="50"/>
  <c r="G12" i="50"/>
  <c r="I11" i="50"/>
  <c r="I12" i="50"/>
  <c r="G17" i="48"/>
  <c r="G18" i="48"/>
  <c r="G16" i="48"/>
  <c r="I16" i="48"/>
  <c r="I17" i="48"/>
  <c r="I18" i="48"/>
  <c r="G19" i="48"/>
  <c r="G12" i="48"/>
  <c r="I11" i="48"/>
  <c r="I12" i="48"/>
  <c r="G11" i="48"/>
  <c r="AN16" i="41"/>
  <c r="AN16" i="43"/>
  <c r="L24" i="54"/>
  <c r="H12" i="46"/>
  <c r="H12" i="42"/>
  <c r="G10" i="54"/>
  <c r="I10" i="54"/>
  <c r="I16" i="54"/>
  <c r="G16" i="54"/>
  <c r="AN28" i="45"/>
  <c r="F22" i="46"/>
  <c r="F21" i="46"/>
  <c r="AN26" i="45"/>
  <c r="F21" i="44"/>
  <c r="L21" i="44" s="1"/>
  <c r="AN26" i="43"/>
  <c r="H21" i="44" s="1"/>
  <c r="AN28" i="43"/>
  <c r="H22" i="44" s="1"/>
  <c r="F22" i="44"/>
  <c r="F21" i="42"/>
  <c r="AN26" i="41"/>
  <c r="F22" i="42"/>
  <c r="AN28" i="41"/>
  <c r="AM28" i="39"/>
  <c r="H22" i="40" s="1"/>
  <c r="AM16" i="39"/>
  <c r="AK26" i="39"/>
  <c r="AK28" i="39"/>
  <c r="AM26" i="39"/>
  <c r="H21" i="40" s="1"/>
  <c r="AK16" i="39"/>
  <c r="AN16" i="39" s="1"/>
  <c r="G16" i="50"/>
  <c r="G10" i="50"/>
  <c r="I10" i="50"/>
  <c r="I16" i="50"/>
  <c r="G10" i="48"/>
  <c r="G14" i="48" s="1"/>
  <c r="G22" i="48"/>
  <c r="G20" i="48"/>
  <c r="I10" i="48"/>
  <c r="I22" i="48"/>
  <c r="I20" i="48"/>
  <c r="I19" i="48"/>
  <c r="G10" i="52"/>
  <c r="G16" i="52"/>
  <c r="L14" i="52"/>
  <c r="I10" i="52"/>
  <c r="I16" i="52"/>
  <c r="H16" i="46"/>
  <c r="H16" i="44"/>
  <c r="H16" i="42"/>
  <c r="L14" i="54"/>
  <c r="L24" i="50"/>
  <c r="L24" i="52"/>
  <c r="L14" i="50"/>
  <c r="L24" i="48"/>
  <c r="F12" i="46"/>
  <c r="AN13" i="45"/>
  <c r="F16" i="46"/>
  <c r="AN9" i="45"/>
  <c r="F10" i="46"/>
  <c r="F12" i="44"/>
  <c r="AN13" i="43"/>
  <c r="AN9" i="43"/>
  <c r="H12" i="44" s="1"/>
  <c r="F16" i="44"/>
  <c r="AN9" i="41"/>
  <c r="F10" i="42"/>
  <c r="F16" i="42"/>
  <c r="AN13" i="41"/>
  <c r="F12" i="42"/>
  <c r="AK13" i="39"/>
  <c r="AM9" i="39"/>
  <c r="H10" i="40" s="1"/>
  <c r="AK9" i="39"/>
  <c r="AM13" i="39"/>
  <c r="AI6" i="37"/>
  <c r="AJ5" i="37"/>
  <c r="AJ6" i="37" s="1"/>
  <c r="AI6" i="35"/>
  <c r="AJ5" i="35"/>
  <c r="AJ6" i="35" s="1"/>
  <c r="AH5" i="33"/>
  <c r="AG6" i="33"/>
  <c r="W5" i="14"/>
  <c r="V6" i="14"/>
  <c r="I14" i="48" l="1"/>
  <c r="K22" i="54"/>
  <c r="M22" i="54" s="1"/>
  <c r="Q22" i="54" s="1"/>
  <c r="S22" i="54" s="1"/>
  <c r="K21" i="52"/>
  <c r="M21" i="52" s="1"/>
  <c r="Q21" i="52" s="1"/>
  <c r="S21" i="52" s="1"/>
  <c r="K20" i="50"/>
  <c r="M20" i="50" s="1"/>
  <c r="Q20" i="50" s="1"/>
  <c r="S20" i="50" s="1"/>
  <c r="K21" i="50"/>
  <c r="M21" i="50" s="1"/>
  <c r="Q21" i="50" s="1"/>
  <c r="S21" i="50" s="1"/>
  <c r="K19" i="48"/>
  <c r="M19" i="48" s="1"/>
  <c r="K21" i="48"/>
  <c r="M21" i="48" s="1"/>
  <c r="Q21" i="48" s="1"/>
  <c r="S21" i="48" s="1"/>
  <c r="K16" i="48"/>
  <c r="M16" i="48" s="1"/>
  <c r="Q16" i="48" s="1"/>
  <c r="S16" i="48" s="1"/>
  <c r="K18" i="54"/>
  <c r="M18" i="54" s="1"/>
  <c r="Q18" i="54" s="1"/>
  <c r="S18" i="54" s="1"/>
  <c r="K17" i="54"/>
  <c r="M17" i="54" s="1"/>
  <c r="Q17" i="54" s="1"/>
  <c r="S17" i="54" s="1"/>
  <c r="K11" i="54"/>
  <c r="M11" i="54" s="1"/>
  <c r="Q11" i="54" s="1"/>
  <c r="S11" i="54" s="1"/>
  <c r="K12" i="54"/>
  <c r="M12" i="54" s="1"/>
  <c r="Q12" i="54" s="1"/>
  <c r="S12" i="54" s="1"/>
  <c r="K22" i="52"/>
  <c r="M22" i="52" s="1"/>
  <c r="Q22" i="52" s="1"/>
  <c r="S22" i="52" s="1"/>
  <c r="K11" i="52"/>
  <c r="M11" i="52" s="1"/>
  <c r="Q11" i="52" s="1"/>
  <c r="S11" i="52" s="1"/>
  <c r="K20" i="52"/>
  <c r="M20" i="52" s="1"/>
  <c r="Q20" i="52" s="1"/>
  <c r="S20" i="52" s="1"/>
  <c r="K18" i="52"/>
  <c r="M18" i="52" s="1"/>
  <c r="Q18" i="52" s="1"/>
  <c r="S18" i="52" s="1"/>
  <c r="K17" i="52"/>
  <c r="M17" i="52" s="1"/>
  <c r="Q17" i="52" s="1"/>
  <c r="S17" i="52" s="1"/>
  <c r="K12" i="52"/>
  <c r="M12" i="52" s="1"/>
  <c r="Q12" i="52" s="1"/>
  <c r="S12" i="52" s="1"/>
  <c r="K19" i="50"/>
  <c r="M19" i="50" s="1"/>
  <c r="Q19" i="50" s="1"/>
  <c r="S19" i="50" s="1"/>
  <c r="K18" i="50"/>
  <c r="M18" i="50" s="1"/>
  <c r="Q18" i="50" s="1"/>
  <c r="S18" i="50" s="1"/>
  <c r="K12" i="50"/>
  <c r="M12" i="50" s="1"/>
  <c r="Q12" i="50" s="1"/>
  <c r="S12" i="50" s="1"/>
  <c r="K11" i="50"/>
  <c r="M11" i="50" s="1"/>
  <c r="Q11" i="50" s="1"/>
  <c r="S11" i="50" s="1"/>
  <c r="K18" i="48"/>
  <c r="M18" i="48" s="1"/>
  <c r="Q18" i="48" s="1"/>
  <c r="S18" i="48" s="1"/>
  <c r="K17" i="48"/>
  <c r="M17" i="48" s="1"/>
  <c r="Q17" i="48" s="1"/>
  <c r="S17" i="48" s="1"/>
  <c r="K12" i="48"/>
  <c r="M12" i="48" s="1"/>
  <c r="Q12" i="48" s="1"/>
  <c r="S12" i="48" s="1"/>
  <c r="K11" i="48"/>
  <c r="M11" i="48" s="1"/>
  <c r="Q11" i="48" s="1"/>
  <c r="S11" i="48" s="1"/>
  <c r="K10" i="50"/>
  <c r="M10" i="50" s="1"/>
  <c r="K10" i="48"/>
  <c r="K16" i="54"/>
  <c r="M16" i="54" s="1"/>
  <c r="U2" i="44"/>
  <c r="G24" i="50"/>
  <c r="K16" i="50"/>
  <c r="M16" i="50" s="1"/>
  <c r="I14" i="54"/>
  <c r="J21" i="44"/>
  <c r="H12" i="40"/>
  <c r="K10" i="54"/>
  <c r="I24" i="54"/>
  <c r="G14" i="54"/>
  <c r="G24" i="54"/>
  <c r="G24" i="52"/>
  <c r="L21" i="46"/>
  <c r="J21" i="46"/>
  <c r="L22" i="46"/>
  <c r="J22" i="46"/>
  <c r="L22" i="44"/>
  <c r="J22" i="44"/>
  <c r="L22" i="42"/>
  <c r="J22" i="42"/>
  <c r="L21" i="42"/>
  <c r="J21" i="42"/>
  <c r="F22" i="40"/>
  <c r="AN28" i="39"/>
  <c r="AN26" i="39"/>
  <c r="F21" i="40"/>
  <c r="AK26" i="37"/>
  <c r="AM28" i="37"/>
  <c r="H22" i="38" s="1"/>
  <c r="AK28" i="37"/>
  <c r="AM16" i="37"/>
  <c r="AK16" i="37"/>
  <c r="AM26" i="37"/>
  <c r="H21" i="38" s="1"/>
  <c r="I14" i="50"/>
  <c r="I24" i="50"/>
  <c r="G14" i="50"/>
  <c r="K20" i="48"/>
  <c r="M20" i="48" s="1"/>
  <c r="Q20" i="48" s="1"/>
  <c r="S20" i="48" s="1"/>
  <c r="AK26" i="35"/>
  <c r="AM16" i="35"/>
  <c r="AM26" i="35"/>
  <c r="H21" i="36" s="1"/>
  <c r="AK16" i="35"/>
  <c r="AM28" i="35"/>
  <c r="H22" i="36" s="1"/>
  <c r="AK28" i="35"/>
  <c r="K10" i="52"/>
  <c r="M10" i="52" s="1"/>
  <c r="K22" i="48"/>
  <c r="M22" i="48" s="1"/>
  <c r="Q22" i="48" s="1"/>
  <c r="S22" i="48" s="1"/>
  <c r="G24" i="48"/>
  <c r="I24" i="48"/>
  <c r="G14" i="52"/>
  <c r="K16" i="52"/>
  <c r="M16" i="52" s="1"/>
  <c r="I14" i="52"/>
  <c r="I24" i="52"/>
  <c r="U2" i="46"/>
  <c r="U2" i="42"/>
  <c r="H16" i="40"/>
  <c r="L10" i="46"/>
  <c r="J10" i="46"/>
  <c r="J16" i="46"/>
  <c r="L16" i="46"/>
  <c r="L12" i="46"/>
  <c r="J12" i="46"/>
  <c r="L10" i="44"/>
  <c r="J10" i="44"/>
  <c r="L12" i="44"/>
  <c r="J12" i="44"/>
  <c r="J16" i="44"/>
  <c r="L16" i="44"/>
  <c r="L12" i="42"/>
  <c r="J12" i="42"/>
  <c r="J16" i="42"/>
  <c r="L16" i="42"/>
  <c r="L10" i="42"/>
  <c r="J10" i="42"/>
  <c r="F16" i="40"/>
  <c r="F12" i="40"/>
  <c r="AN13" i="39"/>
  <c r="AN9" i="39"/>
  <c r="F10" i="40"/>
  <c r="AK9" i="37"/>
  <c r="AM13" i="37"/>
  <c r="H12" i="38" s="1"/>
  <c r="AM9" i="37"/>
  <c r="H10" i="38" s="1"/>
  <c r="AK13" i="37"/>
  <c r="AK9" i="35"/>
  <c r="AK13" i="35"/>
  <c r="AM13" i="35"/>
  <c r="H12" i="36" s="1"/>
  <c r="AM9" i="35"/>
  <c r="H10" i="36" s="1"/>
  <c r="AH6" i="33"/>
  <c r="AI5" i="33"/>
  <c r="X5" i="14"/>
  <c r="W6" i="14"/>
  <c r="M10" i="48" l="1"/>
  <c r="K14" i="48"/>
  <c r="G17" i="46"/>
  <c r="I17" i="46"/>
  <c r="G18" i="46"/>
  <c r="I18" i="46"/>
  <c r="I19" i="46"/>
  <c r="G19" i="46"/>
  <c r="G20" i="46"/>
  <c r="I20" i="46"/>
  <c r="I12" i="46"/>
  <c r="G11" i="46"/>
  <c r="I11" i="46"/>
  <c r="G18" i="44"/>
  <c r="I17" i="44"/>
  <c r="I18" i="44"/>
  <c r="G17" i="44"/>
  <c r="K17" i="44" s="1"/>
  <c r="M17" i="44" s="1"/>
  <c r="Q17" i="44" s="1"/>
  <c r="S17" i="44" s="1"/>
  <c r="G19" i="44"/>
  <c r="G20" i="44"/>
  <c r="I19" i="44"/>
  <c r="I20" i="44"/>
  <c r="G10" i="44"/>
  <c r="G11" i="44"/>
  <c r="I11" i="44"/>
  <c r="G17" i="42"/>
  <c r="I17" i="42"/>
  <c r="G18" i="42"/>
  <c r="K18" i="42" s="1"/>
  <c r="M18" i="42" s="1"/>
  <c r="Q18" i="42" s="1"/>
  <c r="S18" i="42" s="1"/>
  <c r="I18" i="42"/>
  <c r="G19" i="42"/>
  <c r="G20" i="42"/>
  <c r="I19" i="42"/>
  <c r="I20" i="42"/>
  <c r="G11" i="42"/>
  <c r="I11" i="42"/>
  <c r="AN16" i="37"/>
  <c r="K14" i="50"/>
  <c r="K14" i="54"/>
  <c r="K24" i="50"/>
  <c r="K24" i="54"/>
  <c r="AN16" i="35"/>
  <c r="M10" i="54"/>
  <c r="M14" i="54" s="1"/>
  <c r="K14" i="52"/>
  <c r="G10" i="42"/>
  <c r="L21" i="40"/>
  <c r="J21" i="40"/>
  <c r="L22" i="40"/>
  <c r="J22" i="40"/>
  <c r="F22" i="38"/>
  <c r="AN28" i="37"/>
  <c r="F21" i="38"/>
  <c r="AN26" i="37"/>
  <c r="K24" i="48"/>
  <c r="F22" i="36"/>
  <c r="AN28" i="35"/>
  <c r="AN26" i="35"/>
  <c r="F21" i="36"/>
  <c r="I10" i="42"/>
  <c r="G16" i="42"/>
  <c r="G12" i="42"/>
  <c r="I16" i="42"/>
  <c r="I21" i="42"/>
  <c r="K24" i="52"/>
  <c r="I12" i="42"/>
  <c r="I22" i="42"/>
  <c r="I16" i="46"/>
  <c r="G12" i="46"/>
  <c r="I22" i="46"/>
  <c r="G21" i="46"/>
  <c r="G22" i="46"/>
  <c r="G16" i="46"/>
  <c r="G10" i="46"/>
  <c r="I21" i="46"/>
  <c r="I10" i="46"/>
  <c r="G22" i="44"/>
  <c r="I22" i="44"/>
  <c r="I21" i="44"/>
  <c r="G21" i="44"/>
  <c r="I10" i="44"/>
  <c r="I16" i="44"/>
  <c r="I12" i="44"/>
  <c r="G16" i="44"/>
  <c r="G12" i="44"/>
  <c r="G21" i="42"/>
  <c r="G22" i="42"/>
  <c r="U2" i="40"/>
  <c r="H16" i="38"/>
  <c r="H16" i="36"/>
  <c r="L14" i="44"/>
  <c r="Q16" i="54"/>
  <c r="M24" i="54"/>
  <c r="Q16" i="52"/>
  <c r="M24" i="52"/>
  <c r="Q10" i="52"/>
  <c r="M14" i="52"/>
  <c r="Q10" i="50"/>
  <c r="M14" i="50"/>
  <c r="Q16" i="50"/>
  <c r="M24" i="50"/>
  <c r="Q19" i="48"/>
  <c r="M24" i="48"/>
  <c r="L14" i="46"/>
  <c r="L24" i="46"/>
  <c r="L24" i="44"/>
  <c r="L14" i="42"/>
  <c r="L24" i="42"/>
  <c r="L10" i="40"/>
  <c r="J10" i="40"/>
  <c r="J16" i="40"/>
  <c r="L16" i="40"/>
  <c r="L12" i="40"/>
  <c r="J12" i="40"/>
  <c r="F16" i="38"/>
  <c r="F12" i="38"/>
  <c r="AN13" i="37"/>
  <c r="AN9" i="37"/>
  <c r="F10" i="38"/>
  <c r="AN13" i="35"/>
  <c r="F12" i="36"/>
  <c r="F16" i="36"/>
  <c r="AN9" i="35"/>
  <c r="F10" i="36"/>
  <c r="AI6" i="33"/>
  <c r="AJ5" i="33"/>
  <c r="AJ6" i="33" s="1"/>
  <c r="Y5" i="14"/>
  <c r="X6" i="14"/>
  <c r="Q10" i="48" l="1"/>
  <c r="M14" i="48"/>
  <c r="K17" i="46"/>
  <c r="M17" i="46" s="1"/>
  <c r="Q17" i="46" s="1"/>
  <c r="S17" i="46" s="1"/>
  <c r="K12" i="46"/>
  <c r="M12" i="46" s="1"/>
  <c r="Q12" i="46" s="1"/>
  <c r="S12" i="46" s="1"/>
  <c r="K20" i="46"/>
  <c r="M20" i="46" s="1"/>
  <c r="Q20" i="46" s="1"/>
  <c r="S20" i="46" s="1"/>
  <c r="K18" i="46"/>
  <c r="M18" i="46" s="1"/>
  <c r="Q18" i="46" s="1"/>
  <c r="S18" i="46" s="1"/>
  <c r="K19" i="46"/>
  <c r="M19" i="46" s="1"/>
  <c r="Q19" i="46" s="1"/>
  <c r="S19" i="46" s="1"/>
  <c r="K11" i="46"/>
  <c r="M11" i="46" s="1"/>
  <c r="Q11" i="46" s="1"/>
  <c r="S11" i="46" s="1"/>
  <c r="K18" i="44"/>
  <c r="M18" i="44" s="1"/>
  <c r="Q18" i="44" s="1"/>
  <c r="S18" i="44" s="1"/>
  <c r="K20" i="44"/>
  <c r="M20" i="44" s="1"/>
  <c r="Q20" i="44" s="1"/>
  <c r="S20" i="44" s="1"/>
  <c r="K19" i="44"/>
  <c r="M19" i="44" s="1"/>
  <c r="Q19" i="44" s="1"/>
  <c r="S19" i="44" s="1"/>
  <c r="K10" i="44"/>
  <c r="K11" i="44"/>
  <c r="M11" i="44" s="1"/>
  <c r="Q11" i="44" s="1"/>
  <c r="S11" i="44" s="1"/>
  <c r="K17" i="42"/>
  <c r="M17" i="42" s="1"/>
  <c r="Q17" i="42" s="1"/>
  <c r="S17" i="42" s="1"/>
  <c r="K20" i="42"/>
  <c r="M20" i="42" s="1"/>
  <c r="Q20" i="42" s="1"/>
  <c r="S20" i="42" s="1"/>
  <c r="K19" i="42"/>
  <c r="M19" i="42" s="1"/>
  <c r="Q19" i="42" s="1"/>
  <c r="S19" i="42" s="1"/>
  <c r="K11" i="42"/>
  <c r="M11" i="42" s="1"/>
  <c r="Q11" i="42" s="1"/>
  <c r="S11" i="42" s="1"/>
  <c r="G18" i="40"/>
  <c r="I18" i="40"/>
  <c r="G17" i="40"/>
  <c r="I17" i="40"/>
  <c r="G20" i="40"/>
  <c r="G19" i="40"/>
  <c r="I20" i="40"/>
  <c r="I19" i="40"/>
  <c r="G11" i="40"/>
  <c r="I11" i="40"/>
  <c r="Q10" i="54"/>
  <c r="Q14" i="54" s="1"/>
  <c r="K16" i="46"/>
  <c r="M16" i="46" s="1"/>
  <c r="G14" i="42"/>
  <c r="K10" i="46"/>
  <c r="M10" i="46" s="1"/>
  <c r="K16" i="42"/>
  <c r="M16" i="42" s="1"/>
  <c r="K10" i="42"/>
  <c r="M10" i="42" s="1"/>
  <c r="I14" i="42"/>
  <c r="L22" i="38"/>
  <c r="J22" i="38"/>
  <c r="L21" i="38"/>
  <c r="J21" i="38"/>
  <c r="L21" i="36"/>
  <c r="J21" i="36"/>
  <c r="L22" i="36"/>
  <c r="J22" i="36"/>
  <c r="AM24" i="33"/>
  <c r="H20" i="34" s="1"/>
  <c r="AK16" i="33"/>
  <c r="AM28" i="33"/>
  <c r="H22" i="34" s="1"/>
  <c r="AM16" i="33"/>
  <c r="AK24" i="33"/>
  <c r="AK28" i="33"/>
  <c r="K21" i="42"/>
  <c r="M21" i="42" s="1"/>
  <c r="Q21" i="42" s="1"/>
  <c r="S21" i="42" s="1"/>
  <c r="K12" i="42"/>
  <c r="M12" i="42" s="1"/>
  <c r="Q12" i="42" s="1"/>
  <c r="S12" i="42" s="1"/>
  <c r="K22" i="42"/>
  <c r="M22" i="42" s="1"/>
  <c r="Q22" i="42" s="1"/>
  <c r="S22" i="42" s="1"/>
  <c r="K16" i="44"/>
  <c r="M16" i="44" s="1"/>
  <c r="K22" i="46"/>
  <c r="M22" i="46" s="1"/>
  <c r="Q22" i="46" s="1"/>
  <c r="S22" i="46" s="1"/>
  <c r="K21" i="46"/>
  <c r="M21" i="46" s="1"/>
  <c r="Q21" i="46" s="1"/>
  <c r="S21" i="46" s="1"/>
  <c r="G14" i="46"/>
  <c r="G24" i="46"/>
  <c r="I24" i="46"/>
  <c r="I14" i="46"/>
  <c r="K21" i="44"/>
  <c r="M21" i="44" s="1"/>
  <c r="Q21" i="44" s="1"/>
  <c r="S21" i="44" s="1"/>
  <c r="K12" i="44"/>
  <c r="M12" i="44" s="1"/>
  <c r="Q12" i="44" s="1"/>
  <c r="S12" i="44" s="1"/>
  <c r="I24" i="44"/>
  <c r="K22" i="44"/>
  <c r="M22" i="44" s="1"/>
  <c r="Q22" i="44" s="1"/>
  <c r="S22" i="44" s="1"/>
  <c r="G24" i="44"/>
  <c r="I14" i="44"/>
  <c r="G14" i="44"/>
  <c r="I24" i="42"/>
  <c r="G24" i="42"/>
  <c r="G22" i="40"/>
  <c r="I22" i="40"/>
  <c r="G21" i="40"/>
  <c r="I21" i="40"/>
  <c r="I10" i="40"/>
  <c r="I12" i="40"/>
  <c r="I16" i="40"/>
  <c r="G16" i="40"/>
  <c r="G10" i="40"/>
  <c r="G12" i="40"/>
  <c r="U2" i="38"/>
  <c r="U2" i="36"/>
  <c r="Q24" i="54"/>
  <c r="S16" i="54"/>
  <c r="S24" i="54" s="1"/>
  <c r="Q14" i="52"/>
  <c r="S10" i="52"/>
  <c r="S14" i="52" s="1"/>
  <c r="Q24" i="52"/>
  <c r="S16" i="52"/>
  <c r="S24" i="52" s="1"/>
  <c r="Q24" i="50"/>
  <c r="S16" i="50"/>
  <c r="S24" i="50" s="1"/>
  <c r="Q14" i="50"/>
  <c r="S10" i="50"/>
  <c r="S14" i="50" s="1"/>
  <c r="Q24" i="48"/>
  <c r="S19" i="48"/>
  <c r="S24" i="48" s="1"/>
  <c r="M10" i="44"/>
  <c r="L24" i="40"/>
  <c r="L14" i="40"/>
  <c r="L12" i="38"/>
  <c r="J12" i="38"/>
  <c r="L10" i="38"/>
  <c r="J10" i="38"/>
  <c r="J16" i="38"/>
  <c r="L16" i="38"/>
  <c r="L10" i="36"/>
  <c r="J10" i="36"/>
  <c r="J16" i="36"/>
  <c r="L16" i="36"/>
  <c r="L12" i="36"/>
  <c r="J12" i="36"/>
  <c r="AM13" i="33"/>
  <c r="AK13" i="33"/>
  <c r="AM9" i="33"/>
  <c r="H10" i="34" s="1"/>
  <c r="AK9" i="33"/>
  <c r="Z5" i="14"/>
  <c r="Y6" i="14"/>
  <c r="S10" i="48" l="1"/>
  <c r="S14" i="48" s="1"/>
  <c r="Q14" i="48"/>
  <c r="K14" i="46"/>
  <c r="M14" i="46"/>
  <c r="K17" i="40"/>
  <c r="M17" i="40" s="1"/>
  <c r="Q17" i="40" s="1"/>
  <c r="S17" i="40" s="1"/>
  <c r="K18" i="40"/>
  <c r="M18" i="40" s="1"/>
  <c r="Q18" i="40" s="1"/>
  <c r="S18" i="40" s="1"/>
  <c r="K19" i="40"/>
  <c r="M19" i="40" s="1"/>
  <c r="Q19" i="40" s="1"/>
  <c r="S19" i="40" s="1"/>
  <c r="K20" i="40"/>
  <c r="M20" i="40" s="1"/>
  <c r="Q20" i="40" s="1"/>
  <c r="S20" i="40" s="1"/>
  <c r="K11" i="40"/>
  <c r="M11" i="40" s="1"/>
  <c r="Q11" i="40" s="1"/>
  <c r="S11" i="40" s="1"/>
  <c r="G17" i="38"/>
  <c r="I18" i="38"/>
  <c r="G18" i="38"/>
  <c r="K18" i="38" s="1"/>
  <c r="M18" i="38" s="1"/>
  <c r="Q18" i="38" s="1"/>
  <c r="S18" i="38" s="1"/>
  <c r="I17" i="38"/>
  <c r="G20" i="38"/>
  <c r="G19" i="38"/>
  <c r="I20" i="38"/>
  <c r="I19" i="38"/>
  <c r="G11" i="38"/>
  <c r="I11" i="38"/>
  <c r="G17" i="36"/>
  <c r="G18" i="36"/>
  <c r="I17" i="36"/>
  <c r="I18" i="36"/>
  <c r="G19" i="36"/>
  <c r="G20" i="36"/>
  <c r="I19" i="36"/>
  <c r="I20" i="36"/>
  <c r="G11" i="36"/>
  <c r="I11" i="36"/>
  <c r="AN16" i="33"/>
  <c r="S10" i="54"/>
  <c r="S14" i="54" s="1"/>
  <c r="K14" i="42"/>
  <c r="AN28" i="33"/>
  <c r="F22" i="34"/>
  <c r="H12" i="34"/>
  <c r="AN24" i="33"/>
  <c r="F20" i="34"/>
  <c r="K24" i="46"/>
  <c r="K24" i="44"/>
  <c r="K14" i="44"/>
  <c r="M14" i="44"/>
  <c r="K24" i="42"/>
  <c r="K22" i="40"/>
  <c r="M22" i="40" s="1"/>
  <c r="Q22" i="40" s="1"/>
  <c r="S22" i="40" s="1"/>
  <c r="K16" i="40"/>
  <c r="M16" i="40" s="1"/>
  <c r="G14" i="40"/>
  <c r="G24" i="40"/>
  <c r="K10" i="40"/>
  <c r="M10" i="40" s="1"/>
  <c r="I24" i="40"/>
  <c r="I14" i="40"/>
  <c r="K12" i="40"/>
  <c r="M12" i="40" s="1"/>
  <c r="Q12" i="40" s="1"/>
  <c r="S12" i="40" s="1"/>
  <c r="K21" i="40"/>
  <c r="M21" i="40" s="1"/>
  <c r="Q21" i="40" s="1"/>
  <c r="S21" i="40" s="1"/>
  <c r="G12" i="38"/>
  <c r="G10" i="38"/>
  <c r="G16" i="38"/>
  <c r="I22" i="38"/>
  <c r="G22" i="38"/>
  <c r="I21" i="38"/>
  <c r="G21" i="38"/>
  <c r="I12" i="38"/>
  <c r="I10" i="38"/>
  <c r="I16" i="38"/>
  <c r="G22" i="36"/>
  <c r="I21" i="36"/>
  <c r="I22" i="36"/>
  <c r="G21" i="36"/>
  <c r="I12" i="36"/>
  <c r="I10" i="36"/>
  <c r="I16" i="36"/>
  <c r="G16" i="36"/>
  <c r="G10" i="36"/>
  <c r="G12" i="36"/>
  <c r="H16" i="34"/>
  <c r="AN13" i="33"/>
  <c r="F12" i="34"/>
  <c r="Q10" i="46"/>
  <c r="Q14" i="46" s="1"/>
  <c r="Q16" i="46"/>
  <c r="M24" i="46"/>
  <c r="Q16" i="44"/>
  <c r="M24" i="44"/>
  <c r="Q10" i="44"/>
  <c r="Q14" i="44" s="1"/>
  <c r="Q16" i="42"/>
  <c r="M24" i="42"/>
  <c r="Q10" i="42"/>
  <c r="M14" i="42"/>
  <c r="L24" i="38"/>
  <c r="L14" i="38"/>
  <c r="L24" i="36"/>
  <c r="L14" i="36"/>
  <c r="F16" i="34"/>
  <c r="F10" i="34"/>
  <c r="AN9" i="33"/>
  <c r="AA5" i="14"/>
  <c r="Z6" i="14"/>
  <c r="K17" i="38" l="1"/>
  <c r="M17" i="38" s="1"/>
  <c r="Q17" i="38" s="1"/>
  <c r="S17" i="38" s="1"/>
  <c r="K19" i="38"/>
  <c r="M19" i="38" s="1"/>
  <c r="Q19" i="38" s="1"/>
  <c r="S19" i="38" s="1"/>
  <c r="K20" i="38"/>
  <c r="M20" i="38" s="1"/>
  <c r="Q20" i="38" s="1"/>
  <c r="S20" i="38" s="1"/>
  <c r="K11" i="38"/>
  <c r="M11" i="38" s="1"/>
  <c r="Q11" i="38" s="1"/>
  <c r="S11" i="38" s="1"/>
  <c r="K18" i="36"/>
  <c r="M18" i="36" s="1"/>
  <c r="Q18" i="36" s="1"/>
  <c r="S18" i="36" s="1"/>
  <c r="K17" i="36"/>
  <c r="M17" i="36" s="1"/>
  <c r="Q17" i="36" s="1"/>
  <c r="S17" i="36" s="1"/>
  <c r="K20" i="36"/>
  <c r="M20" i="36" s="1"/>
  <c r="Q20" i="36" s="1"/>
  <c r="S20" i="36" s="1"/>
  <c r="K19" i="36"/>
  <c r="M19" i="36" s="1"/>
  <c r="Q19" i="36" s="1"/>
  <c r="S19" i="36" s="1"/>
  <c r="K11" i="36"/>
  <c r="M11" i="36" s="1"/>
  <c r="Q11" i="36" s="1"/>
  <c r="S11" i="36" s="1"/>
  <c r="K21" i="36"/>
  <c r="M21" i="36" s="1"/>
  <c r="Q21" i="36" s="1"/>
  <c r="S21" i="36" s="1"/>
  <c r="L22" i="34"/>
  <c r="J22" i="34"/>
  <c r="L20" i="34"/>
  <c r="J20" i="34"/>
  <c r="K10" i="36"/>
  <c r="K12" i="38"/>
  <c r="M12" i="38" s="1"/>
  <c r="Q12" i="38" s="1"/>
  <c r="S12" i="38" s="1"/>
  <c r="G14" i="38"/>
  <c r="K14" i="40"/>
  <c r="K24" i="40"/>
  <c r="K10" i="38"/>
  <c r="M10" i="38" s="1"/>
  <c r="K16" i="38"/>
  <c r="M16" i="38" s="1"/>
  <c r="I24" i="38"/>
  <c r="G24" i="38"/>
  <c r="I14" i="38"/>
  <c r="K22" i="38"/>
  <c r="M22" i="38" s="1"/>
  <c r="Q22" i="38" s="1"/>
  <c r="S22" i="38" s="1"/>
  <c r="K21" i="38"/>
  <c r="M21" i="38" s="1"/>
  <c r="Q21" i="38" s="1"/>
  <c r="S21" i="38" s="1"/>
  <c r="G14" i="36"/>
  <c r="K16" i="36"/>
  <c r="M16" i="36" s="1"/>
  <c r="K12" i="36"/>
  <c r="M12" i="36" s="1"/>
  <c r="Q12" i="36" s="1"/>
  <c r="S12" i="36" s="1"/>
  <c r="I14" i="36"/>
  <c r="G24" i="36"/>
  <c r="K22" i="36"/>
  <c r="M22" i="36" s="1"/>
  <c r="Q22" i="36" s="1"/>
  <c r="S22" i="36" s="1"/>
  <c r="I24" i="36"/>
  <c r="U2" i="34"/>
  <c r="L12" i="34"/>
  <c r="J12" i="34"/>
  <c r="Q24" i="46"/>
  <c r="S16" i="46"/>
  <c r="S24" i="46" s="1"/>
  <c r="S10" i="46"/>
  <c r="S14" i="46" s="1"/>
  <c r="S10" i="44"/>
  <c r="S14" i="44" s="1"/>
  <c r="Q24" i="44"/>
  <c r="S16" i="44"/>
  <c r="S24" i="44" s="1"/>
  <c r="Q14" i="42"/>
  <c r="S10" i="42"/>
  <c r="S14" i="42" s="1"/>
  <c r="Q24" i="42"/>
  <c r="S16" i="42"/>
  <c r="S24" i="42" s="1"/>
  <c r="Q16" i="40"/>
  <c r="M24" i="40"/>
  <c r="Q10" i="40"/>
  <c r="M14" i="40"/>
  <c r="M10" i="36"/>
  <c r="L16" i="34"/>
  <c r="J16" i="34"/>
  <c r="J10" i="34"/>
  <c r="L10" i="34"/>
  <c r="AB5" i="14"/>
  <c r="AA6" i="14"/>
  <c r="G21" i="34" l="1"/>
  <c r="I21" i="34"/>
  <c r="G17" i="34"/>
  <c r="K17" i="34" s="1"/>
  <c r="M17" i="34" s="1"/>
  <c r="Q17" i="34" s="1"/>
  <c r="S17" i="34" s="1"/>
  <c r="I17" i="34"/>
  <c r="G19" i="34"/>
  <c r="I18" i="34"/>
  <c r="I19" i="34"/>
  <c r="G18" i="34"/>
  <c r="I10" i="34"/>
  <c r="G11" i="34"/>
  <c r="I11" i="34"/>
  <c r="K14" i="38"/>
  <c r="G12" i="34"/>
  <c r="I16" i="34"/>
  <c r="G10" i="34"/>
  <c r="G16" i="34"/>
  <c r="I20" i="34"/>
  <c r="K24" i="38"/>
  <c r="K24" i="36"/>
  <c r="K14" i="36"/>
  <c r="I22" i="34"/>
  <c r="G22" i="34"/>
  <c r="G20" i="34"/>
  <c r="I12" i="34"/>
  <c r="L14" i="34"/>
  <c r="L24" i="34"/>
  <c r="Q14" i="40"/>
  <c r="S10" i="40"/>
  <c r="S14" i="40" s="1"/>
  <c r="Q24" i="40"/>
  <c r="S16" i="40"/>
  <c r="S24" i="40" s="1"/>
  <c r="Q16" i="38"/>
  <c r="M24" i="38"/>
  <c r="Q10" i="38"/>
  <c r="M14" i="38"/>
  <c r="Q16" i="36"/>
  <c r="M24" i="36"/>
  <c r="Q10" i="36"/>
  <c r="M14" i="36"/>
  <c r="AB6" i="14"/>
  <c r="AC5" i="14"/>
  <c r="K21" i="34" l="1"/>
  <c r="M21" i="34" s="1"/>
  <c r="Q21" i="34" s="1"/>
  <c r="S21" i="34" s="1"/>
  <c r="K10" i="34"/>
  <c r="K18" i="34"/>
  <c r="M18" i="34" s="1"/>
  <c r="Q18" i="34" s="1"/>
  <c r="S18" i="34" s="1"/>
  <c r="K19" i="34"/>
  <c r="M19" i="34" s="1"/>
  <c r="Q19" i="34" s="1"/>
  <c r="S19" i="34" s="1"/>
  <c r="K11" i="34"/>
  <c r="M11" i="34" s="1"/>
  <c r="Q11" i="34" s="1"/>
  <c r="S11" i="34" s="1"/>
  <c r="K20" i="34"/>
  <c r="M20" i="34" s="1"/>
  <c r="Q20" i="34" s="1"/>
  <c r="S20" i="34" s="1"/>
  <c r="K12" i="34"/>
  <c r="M12" i="34" s="1"/>
  <c r="Q12" i="34" s="1"/>
  <c r="S12" i="34" s="1"/>
  <c r="G14" i="34"/>
  <c r="K16" i="34"/>
  <c r="M16" i="34" s="1"/>
  <c r="G24" i="34"/>
  <c r="K22" i="34"/>
  <c r="M22" i="34" s="1"/>
  <c r="Q22" i="34" s="1"/>
  <c r="S22" i="34" s="1"/>
  <c r="I24" i="34"/>
  <c r="I14" i="34"/>
  <c r="Q14" i="38"/>
  <c r="S10" i="38"/>
  <c r="S14" i="38" s="1"/>
  <c r="Q24" i="38"/>
  <c r="S16" i="38"/>
  <c r="S24" i="38" s="1"/>
  <c r="Q14" i="36"/>
  <c r="S10" i="36"/>
  <c r="S14" i="36" s="1"/>
  <c r="Q24" i="36"/>
  <c r="S16" i="36"/>
  <c r="S24" i="36" s="1"/>
  <c r="M10" i="34"/>
  <c r="AC6" i="14"/>
  <c r="AD5" i="14"/>
  <c r="K14" i="34" l="1"/>
  <c r="M14" i="34"/>
  <c r="M24" i="34"/>
  <c r="K24" i="34"/>
  <c r="Q16" i="34"/>
  <c r="S16" i="34" s="1"/>
  <c r="S24" i="34" s="1"/>
  <c r="Q10" i="34"/>
  <c r="Q14" i="34" s="1"/>
  <c r="AD6" i="14"/>
  <c r="AE5" i="14"/>
  <c r="Q24" i="34" l="1"/>
  <c r="S10" i="34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24" i="14" l="1"/>
  <c r="AM24" i="14"/>
  <c r="H20" i="16" s="1"/>
  <c r="AM16" i="14"/>
  <c r="AM28" i="14"/>
  <c r="H22" i="16" s="1"/>
  <c r="AK16" i="14"/>
  <c r="AK28" i="14"/>
  <c r="AK13" i="14"/>
  <c r="AM13" i="14"/>
  <c r="AK9" i="14"/>
  <c r="F10" i="16" s="1"/>
  <c r="AM9" i="14"/>
  <c r="H10" i="16" s="1"/>
  <c r="AN16" i="14" l="1"/>
  <c r="H12" i="16"/>
  <c r="F12" i="16"/>
  <c r="AN28" i="14"/>
  <c r="F22" i="16"/>
  <c r="AN24" i="14"/>
  <c r="F20" i="16"/>
  <c r="H16" i="16"/>
  <c r="F16" i="16"/>
  <c r="L16" i="16" s="1"/>
  <c r="L10" i="16"/>
  <c r="J10" i="16"/>
  <c r="AN13" i="14"/>
  <c r="AN9" i="14"/>
  <c r="J12" i="16" l="1"/>
  <c r="L12" i="16"/>
  <c r="L14" i="16" s="1"/>
  <c r="L22" i="16"/>
  <c r="J22" i="16"/>
  <c r="L20" i="16"/>
  <c r="J20" i="16"/>
  <c r="J16" i="16"/>
  <c r="U2" i="16"/>
  <c r="G21" i="16" l="1"/>
  <c r="I21" i="16"/>
  <c r="I17" i="16"/>
  <c r="G17" i="16"/>
  <c r="K17" i="16" s="1"/>
  <c r="M17" i="16" s="1"/>
  <c r="Q17" i="16" s="1"/>
  <c r="S17" i="16" s="1"/>
  <c r="G18" i="16"/>
  <c r="I18" i="16"/>
  <c r="G19" i="16"/>
  <c r="I19" i="16"/>
  <c r="G11" i="16"/>
  <c r="I11" i="16"/>
  <c r="L24" i="16"/>
  <c r="G22" i="16"/>
  <c r="G12" i="16"/>
  <c r="G20" i="16"/>
  <c r="I20" i="16"/>
  <c r="I10" i="16"/>
  <c r="G10" i="16"/>
  <c r="I22" i="16"/>
  <c r="I12" i="16"/>
  <c r="I16" i="16"/>
  <c r="G16" i="16"/>
  <c r="K21" i="16" l="1"/>
  <c r="M21" i="16" s="1"/>
  <c r="Q21" i="16" s="1"/>
  <c r="S21" i="16" s="1"/>
  <c r="K19" i="16"/>
  <c r="M19" i="16" s="1"/>
  <c r="Q19" i="16" s="1"/>
  <c r="S19" i="16" s="1"/>
  <c r="K18" i="16"/>
  <c r="M18" i="16" s="1"/>
  <c r="Q18" i="16" s="1"/>
  <c r="S18" i="16" s="1"/>
  <c r="K11" i="16"/>
  <c r="M11" i="16" s="1"/>
  <c r="Q11" i="16" s="1"/>
  <c r="S11" i="16" s="1"/>
  <c r="I24" i="16"/>
  <c r="G14" i="16"/>
  <c r="K10" i="16"/>
  <c r="I14" i="16"/>
  <c r="K12" i="16"/>
  <c r="M12" i="16" s="1"/>
  <c r="Q12" i="16" s="1"/>
  <c r="S12" i="16" s="1"/>
  <c r="K16" i="16"/>
  <c r="G24" i="16"/>
  <c r="K22" i="16"/>
  <c r="M22" i="16" s="1"/>
  <c r="Q22" i="16" s="1"/>
  <c r="S22" i="16" s="1"/>
  <c r="K20" i="16"/>
  <c r="M20" i="16" s="1"/>
  <c r="Q20" i="16" s="1"/>
  <c r="S20" i="16" s="1"/>
  <c r="M10" i="16" l="1"/>
  <c r="K14" i="16"/>
  <c r="M16" i="16"/>
  <c r="K24" i="16"/>
  <c r="M24" i="16" l="1"/>
  <c r="Q16" i="16"/>
  <c r="M14" i="16"/>
  <c r="Q10" i="16"/>
  <c r="S10" i="16" l="1"/>
  <c r="S14" i="16" s="1"/>
  <c r="Q14" i="16"/>
  <c r="Q24" i="16"/>
  <c r="S16" i="16"/>
  <c r="S24" i="16" s="1"/>
</calcChain>
</file>

<file path=xl/sharedStrings.xml><?xml version="1.0" encoding="utf-8"?>
<sst xmlns="http://schemas.openxmlformats.org/spreadsheetml/2006/main" count="1446" uniqueCount="189">
  <si>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</si>
  <si>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</si>
  <si>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</si>
  <si>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</si>
  <si>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</si>
  <si>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</si>
  <si>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</si>
  <si>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</si>
  <si>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</si>
  <si>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</si>
  <si>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</si>
  <si>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</si>
  <si>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</si>
  <si>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</si>
  <si>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</si>
  <si>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</si>
  <si>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</si>
  <si>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</si>
  <si>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</si>
  <si>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</si>
  <si>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</si>
  <si>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</si>
  <si>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</si>
  <si>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</si>
  <si>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</si>
  <si>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</si>
  <si>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</si>
  <si>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</si>
  <si>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</si>
  <si>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</si>
  <si>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</si>
  <si>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</si>
  <si>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</si>
  <si>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</si>
  <si>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</si>
  <si>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</si>
  <si>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</si>
  <si>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</si>
  <si>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</si>
  <si>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</si>
  <si>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</si>
  <si>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</si>
  <si>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</si>
  <si>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</si>
  <si>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</si>
  <si>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</si>
  <si>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</si>
  <si>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</si>
  <si>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</si>
  <si>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</si>
  <si>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</si>
  <si>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</si>
  <si>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</si>
  <si>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</si>
  <si>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</si>
  <si>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</si>
  <si>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</si>
  <si>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</si>
  <si>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</si>
  <si>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</si>
  <si>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</si>
  <si>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</si>
  <si>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</si>
  <si>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</si>
  <si>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</si>
  <si>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</si>
  <si>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</si>
  <si>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</si>
  <si>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</si>
  <si>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</si>
  <si>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</si>
  <si>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</si>
  <si>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</si>
  <si>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</si>
  <si>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</si>
  <si>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</si>
  <si>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</si>
  <si>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</si>
  <si>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</si>
  <si>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</si>
  <si>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</si>
  <si>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</si>
  <si>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</si>
  <si>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</si>
  <si>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</si>
  <si>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</si>
  <si>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</si>
  <si>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</si>
  <si>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</si>
  <si>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</si>
  <si>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</si>
  <si>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</si>
  <si>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</si>
  <si>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</si>
  <si>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</si>
  <si>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</si>
  <si>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</si>
  <si>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</si>
  <si>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</si>
  <si>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</si>
  <si>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</si>
  <si>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</si>
  <si>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</si>
  <si>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</si>
  <si>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</si>
  <si>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</si>
  <si>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</si>
  <si>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</si>
  <si>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</si>
  <si>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</si>
  <si>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</si>
  <si>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</si>
  <si>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</si>
  <si>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</si>
  <si>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</si>
  <si>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</si>
  <si>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</si>
  <si>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</si>
  <si>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</si>
  <si>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</si>
  <si>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</si>
  <si>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</si>
  <si>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</si>
  <si>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</si>
  <si>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</si>
  <si>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</si>
  <si>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</si>
  <si>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</si>
  <si>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</si>
  <si>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</si>
  <si>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</si>
  <si>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</si>
  <si>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</si>
  <si>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</si>
  <si>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</si>
  <si>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</si>
  <si>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</si>
  <si>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</si>
  <si>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</si>
  <si>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</si>
  <si>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</si>
  <si>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</si>
  <si>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</si>
  <si>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</si>
  <si>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</si>
  <si>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</si>
  <si>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</si>
  <si>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</si>
  <si>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</si>
  <si>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</si>
  <si>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</si>
  <si>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</si>
  <si>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</si>
  <si>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</si>
  <si>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</si>
  <si>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</si>
  <si>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</si>
  <si>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</si>
  <si>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</si>
  <si>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</si>
  <si>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</si>
  <si>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</si>
  <si>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</si>
  <si>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</si>
  <si>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</si>
  <si>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Nguyễn Thị Thu Sương</t>
  </si>
  <si>
    <t>Kinh Doanh</t>
  </si>
  <si>
    <t>Nguyễn Trường Giang</t>
  </si>
  <si>
    <t>Thợ in</t>
  </si>
  <si>
    <t>QL03</t>
  </si>
  <si>
    <t>BP: Quản lý :</t>
  </si>
  <si>
    <t>BP: Quản lý &amp; CN Trực Tiếp SX</t>
  </si>
  <si>
    <t>BP: Quản lý:</t>
  </si>
  <si>
    <t>Trần Anh Nhựt</t>
  </si>
  <si>
    <t>Thiết Kế</t>
  </si>
  <si>
    <t>Huỳnh Minh Toàn</t>
  </si>
  <si>
    <t>Thủ Kho</t>
  </si>
  <si>
    <t>Võ Văn Kiệt</t>
  </si>
  <si>
    <t>Công Đoạn 1</t>
  </si>
  <si>
    <t>Diệp Văn Lân</t>
  </si>
  <si>
    <t>CN04</t>
  </si>
  <si>
    <t>Dương Thế Kiệt</t>
  </si>
  <si>
    <t>CN05</t>
  </si>
  <si>
    <t>Lê Văn Hữu</t>
  </si>
  <si>
    <t>Công Đoạn 2</t>
  </si>
  <si>
    <t>CN06</t>
  </si>
  <si>
    <t>Bùi Trường Giang</t>
  </si>
  <si>
    <t>CN07</t>
  </si>
  <si>
    <t>Nguyễn T Bích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</si>
</sst>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90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4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1"/>
  <sheetViews>
    <sheetView topLeftCell="A8" workbookViewId="0">
      <pane ySplit="3" topLeftCell="A11" activePane="bottomLeft" state="frozen"/>
      <selection activeCell="A8" sqref="A8"/>
      <selection pane="bottomLeft" activeCell="E18" sqref="E18:E20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152</v>
      </c>
    </row>
    <row r="2" spans="1:26" ht="15">
      <c r="A2" s="1" t="s">
        <v>153</v>
      </c>
    </row>
    <row r="3" spans="1:26" ht="15">
      <c r="A3" s="1"/>
    </row>
    <row r="4" spans="1:26">
      <c r="A4" s="109"/>
      <c r="B4" s="109"/>
    </row>
    <row r="5" spans="1:26" ht="23.25" customHeight="1">
      <c r="A5" s="238" t="s">
        <v>35</v>
      </c>
      <c r="B5" s="238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</row>
    <row r="6" spans="1:26" ht="23.25" customHeight="1">
      <c r="A6" s="239" t="str">
        <f>"Tháng "&amp;'CC -5'!C4&amp;" năm 2011"</f>
        <v>Tháng  năm 2011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40" t="s">
        <v>19</v>
      </c>
      <c r="B8" s="240" t="s">
        <v>3</v>
      </c>
      <c r="C8" s="240" t="s">
        <v>1</v>
      </c>
      <c r="D8" s="240" t="s">
        <v>2</v>
      </c>
      <c r="E8" s="243" t="s">
        <v>56</v>
      </c>
      <c r="F8" s="243"/>
      <c r="G8" s="243" t="s">
        <v>36</v>
      </c>
      <c r="H8" s="243"/>
      <c r="I8" s="243" t="s">
        <v>24</v>
      </c>
      <c r="J8" s="243" t="s">
        <v>33</v>
      </c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1" t="s">
        <v>39</v>
      </c>
      <c r="W8" s="241" t="s">
        <v>23</v>
      </c>
      <c r="X8" s="241" t="s">
        <v>11</v>
      </c>
      <c r="Y8" s="107"/>
      <c r="Z8" s="107"/>
    </row>
    <row r="9" spans="1:26" s="1" customFormat="1" ht="20.25" customHeight="1">
      <c r="A9" s="240"/>
      <c r="B9" s="240"/>
      <c r="C9" s="240"/>
      <c r="D9" s="240"/>
      <c r="E9" s="172" t="s">
        <v>158</v>
      </c>
      <c r="F9" s="172">
        <v>2015</v>
      </c>
      <c r="G9" s="171" t="s">
        <v>57</v>
      </c>
      <c r="H9" s="171" t="s">
        <v>38</v>
      </c>
      <c r="I9" s="243"/>
      <c r="J9" s="171" t="s">
        <v>104</v>
      </c>
      <c r="K9" s="171" t="s">
        <v>105</v>
      </c>
      <c r="L9" s="171" t="s">
        <v>106</v>
      </c>
      <c r="M9" s="171" t="s">
        <v>107</v>
      </c>
      <c r="N9" s="171" t="s">
        <v>108</v>
      </c>
      <c r="O9" s="171" t="s">
        <v>109</v>
      </c>
      <c r="P9" s="171" t="s">
        <v>110</v>
      </c>
      <c r="Q9" s="171" t="s">
        <v>111</v>
      </c>
      <c r="R9" s="171" t="s">
        <v>112</v>
      </c>
      <c r="S9" s="171" t="s">
        <v>113</v>
      </c>
      <c r="T9" s="171" t="s">
        <v>114</v>
      </c>
      <c r="U9" s="171" t="s">
        <v>115</v>
      </c>
      <c r="V9" s="242"/>
      <c r="W9" s="242"/>
      <c r="X9" s="242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0" customFormat="1" ht="21.75" customHeight="1">
      <c r="A11" s="157">
        <f>IF(B11&lt;&gt;"",ROW()-10,"")</f>
        <v>1</v>
      </c>
      <c r="B11" s="157" t="s">
        <v>160</v>
      </c>
      <c r="C11" s="161" t="s">
        <v>165</v>
      </c>
      <c r="D11" s="157" t="s">
        <v>166</v>
      </c>
      <c r="E11" s="190">
        <v>5200000</v>
      </c>
      <c r="F11" s="190">
        <v>5000000</v>
      </c>
      <c r="G11" s="152">
        <v>390000</v>
      </c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8"/>
      <c r="Z11" s="159"/>
    </row>
    <row r="12" spans="1:26" s="160" customFormat="1" ht="21.75" customHeight="1">
      <c r="A12" s="157">
        <f t="shared" ref="A12:A22" si="0">IF(B12&lt;&gt;"",ROW()-10,"")</f>
        <v>2</v>
      </c>
      <c r="B12" s="157" t="s">
        <v>161</v>
      </c>
      <c r="C12" s="161" t="s">
        <v>173</v>
      </c>
      <c r="D12" s="157" t="s">
        <v>174</v>
      </c>
      <c r="E12" s="190">
        <v>5200000</v>
      </c>
      <c r="F12" s="190">
        <v>5000000</v>
      </c>
      <c r="G12" s="152">
        <v>390000</v>
      </c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8"/>
      <c r="Z12" s="159"/>
    </row>
    <row r="13" spans="1:26" s="160" customFormat="1" ht="21.75" customHeight="1">
      <c r="A13" s="157">
        <f t="shared" si="0"/>
        <v>3</v>
      </c>
      <c r="B13" s="157" t="s">
        <v>169</v>
      </c>
      <c r="C13" s="161" t="s">
        <v>175</v>
      </c>
      <c r="D13" s="157" t="s">
        <v>176</v>
      </c>
      <c r="E13" s="190">
        <v>5700000</v>
      </c>
      <c r="F13" s="190">
        <v>5500000</v>
      </c>
      <c r="G13" s="152">
        <v>390000</v>
      </c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8"/>
      <c r="Z13" s="159"/>
    </row>
    <row r="14" spans="1:26" s="169" customFormat="1" ht="21.75" customHeight="1">
      <c r="A14" s="163">
        <f t="shared" si="0"/>
        <v>4</v>
      </c>
      <c r="B14" s="164" t="s">
        <v>162</v>
      </c>
      <c r="C14" s="165" t="s">
        <v>167</v>
      </c>
      <c r="D14" s="163" t="s">
        <v>168</v>
      </c>
      <c r="E14" s="166">
        <v>5200000</v>
      </c>
      <c r="F14" s="166">
        <v>5000000</v>
      </c>
      <c r="G14" s="166">
        <v>390000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7"/>
      <c r="Z14" s="168"/>
    </row>
    <row r="15" spans="1:26" s="169" customFormat="1" ht="21.75" customHeight="1">
      <c r="A15" s="163">
        <f t="shared" si="0"/>
        <v>5</v>
      </c>
      <c r="B15" s="164" t="s">
        <v>163</v>
      </c>
      <c r="C15" s="165" t="s">
        <v>177</v>
      </c>
      <c r="D15" s="163" t="s">
        <v>178</v>
      </c>
      <c r="E15" s="166">
        <v>5200000</v>
      </c>
      <c r="F15" s="166">
        <v>5000000</v>
      </c>
      <c r="G15" s="166">
        <v>390000</v>
      </c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7"/>
      <c r="Z15" s="168"/>
    </row>
    <row r="16" spans="1:26" s="169" customFormat="1" ht="21.75" customHeight="1">
      <c r="A16" s="163">
        <f t="shared" si="0"/>
        <v>6</v>
      </c>
      <c r="B16" s="164" t="s">
        <v>164</v>
      </c>
      <c r="C16" s="165" t="s">
        <v>179</v>
      </c>
      <c r="D16" s="163" t="s">
        <v>178</v>
      </c>
      <c r="E16" s="166">
        <v>4500000</v>
      </c>
      <c r="F16" s="166">
        <v>4200000</v>
      </c>
      <c r="G16" s="166">
        <v>390000</v>
      </c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7"/>
      <c r="Z16" s="168"/>
    </row>
    <row r="17" spans="1:26" s="169" customFormat="1" ht="21.75" customHeight="1">
      <c r="A17" s="163">
        <f t="shared" si="0"/>
        <v>7</v>
      </c>
      <c r="B17" s="164" t="s">
        <v>180</v>
      </c>
      <c r="C17" s="230" t="s">
        <v>181</v>
      </c>
      <c r="D17" s="164" t="s">
        <v>178</v>
      </c>
      <c r="E17" s="166">
        <v>4500000</v>
      </c>
      <c r="F17" s="166">
        <v>4200000</v>
      </c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7"/>
      <c r="Z17" s="168"/>
    </row>
    <row r="18" spans="1:26" s="169" customFormat="1" ht="21.75" customHeight="1">
      <c r="A18" s="163">
        <f t="shared" si="0"/>
        <v>8</v>
      </c>
      <c r="B18" s="164" t="s">
        <v>182</v>
      </c>
      <c r="C18" s="165" t="s">
        <v>183</v>
      </c>
      <c r="D18" s="163" t="s">
        <v>184</v>
      </c>
      <c r="E18" s="166">
        <v>5200000</v>
      </c>
      <c r="F18" s="166">
        <v>5000000</v>
      </c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7"/>
      <c r="Z18" s="168"/>
    </row>
    <row r="19" spans="1:26" s="169" customFormat="1" ht="21.75" customHeight="1">
      <c r="A19" s="163">
        <f t="shared" si="0"/>
        <v>9</v>
      </c>
      <c r="B19" s="164" t="s">
        <v>185</v>
      </c>
      <c r="C19" s="165" t="s">
        <v>186</v>
      </c>
      <c r="D19" s="163" t="s">
        <v>184</v>
      </c>
      <c r="E19" s="166">
        <v>4500000</v>
      </c>
      <c r="F19" s="166">
        <v>4200000</v>
      </c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7"/>
      <c r="Z19" s="168"/>
    </row>
    <row r="20" spans="1:26" s="169" customFormat="1" ht="21.75" customHeight="1">
      <c r="A20" s="163">
        <f t="shared" si="0"/>
        <v>10</v>
      </c>
      <c r="B20" s="164" t="s">
        <v>187</v>
      </c>
      <c r="C20" s="230" t="s">
        <v>188</v>
      </c>
      <c r="D20" s="164" t="s">
        <v>184</v>
      </c>
      <c r="E20" s="166">
        <v>4500000</v>
      </c>
      <c r="F20" s="166">
        <v>4200000</v>
      </c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7"/>
      <c r="Z20" s="168"/>
    </row>
    <row r="21" spans="1:26" ht="21.75" customHeight="1">
      <c r="A21" s="163" t="str">
        <f t="shared" si="0"/>
        <v/>
      </c>
      <c r="B21" s="17"/>
      <c r="C21" s="53"/>
      <c r="D21" s="141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07"/>
    </row>
    <row r="22" spans="1:26" ht="21.75" customHeight="1">
      <c r="A22" s="157" t="str">
        <f t="shared" si="0"/>
        <v/>
      </c>
      <c r="B22" s="142"/>
      <c r="C22" s="149"/>
      <c r="D22" s="148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07"/>
    </row>
    <row r="23" spans="1:26" ht="21.75" customHeight="1">
      <c r="A23" s="232" t="s">
        <v>25</v>
      </c>
      <c r="B23" s="233"/>
      <c r="C23" s="233"/>
      <c r="D23" s="154" t="s">
        <v>134</v>
      </c>
      <c r="E23" s="151">
        <f>SUM(E11:E22)</f>
        <v>49700000</v>
      </c>
      <c r="F23" s="151">
        <f>SUM(F11:F22)</f>
        <v>47300000</v>
      </c>
      <c r="G23" s="151">
        <f>SUM(G11:G22)</f>
        <v>2340000</v>
      </c>
      <c r="H23" s="151">
        <f>SUM(H11:H22)</f>
        <v>0</v>
      </c>
      <c r="I23" s="151"/>
      <c r="J23" s="151">
        <f t="shared" ref="J23:U23" si="1">SUMIF(J$11:J$22,"x",$E$11:$E$22)</f>
        <v>0</v>
      </c>
      <c r="K23" s="151">
        <f t="shared" si="1"/>
        <v>0</v>
      </c>
      <c r="L23" s="151">
        <f t="shared" si="1"/>
        <v>0</v>
      </c>
      <c r="M23" s="151">
        <f t="shared" si="1"/>
        <v>0</v>
      </c>
      <c r="N23" s="151">
        <f t="shared" si="1"/>
        <v>0</v>
      </c>
      <c r="O23" s="151">
        <f t="shared" si="1"/>
        <v>0</v>
      </c>
      <c r="P23" s="151">
        <f t="shared" si="1"/>
        <v>0</v>
      </c>
      <c r="Q23" s="151">
        <f t="shared" si="1"/>
        <v>0</v>
      </c>
      <c r="R23" s="151">
        <f t="shared" si="1"/>
        <v>0</v>
      </c>
      <c r="S23" s="151">
        <f t="shared" si="1"/>
        <v>0</v>
      </c>
      <c r="T23" s="151">
        <f t="shared" si="1"/>
        <v>0</v>
      </c>
      <c r="U23" s="151">
        <f t="shared" si="1"/>
        <v>0</v>
      </c>
      <c r="V23" s="151"/>
      <c r="W23" s="151"/>
      <c r="X23" s="151"/>
      <c r="Y23" s="107"/>
    </row>
    <row r="24" spans="1:26" ht="21.75" customHeight="1">
      <c r="A24" s="234"/>
      <c r="B24" s="235"/>
      <c r="C24" s="235"/>
      <c r="D24" s="154" t="s">
        <v>135</v>
      </c>
      <c r="E24" s="151"/>
      <c r="F24" s="151"/>
      <c r="G24" s="151"/>
      <c r="H24" s="151"/>
      <c r="I24" s="151"/>
      <c r="J24" s="151">
        <f t="array" ref="J24">SUM((J$11:J$22="x")*1)</f>
        <v>0</v>
      </c>
      <c r="K24" s="151">
        <f t="array" ref="K24">SUM((K$11:K$22="x")*1)</f>
        <v>0</v>
      </c>
      <c r="L24" s="151">
        <f t="array" ref="L24">SUM((L$11:L$22="x")*1)</f>
        <v>0</v>
      </c>
      <c r="M24" s="151">
        <f t="array" ref="M24">SUM((M$11:M$22="x")*1)</f>
        <v>0</v>
      </c>
      <c r="N24" s="151">
        <f t="array" ref="N24">SUM((N$11:N$22="x")*1)</f>
        <v>0</v>
      </c>
      <c r="O24" s="151">
        <f t="array" ref="O24">SUM((O$11:O$22="x")*1)</f>
        <v>0</v>
      </c>
      <c r="P24" s="151">
        <f t="array" ref="P24">SUM((P$11:P$22="x")*1)</f>
        <v>0</v>
      </c>
      <c r="Q24" s="151">
        <f t="array" ref="Q24">SUM((Q$11:Q$22="x")*1)</f>
        <v>0</v>
      </c>
      <c r="R24" s="151">
        <f t="array" ref="R24">SUM((R$11:R$22="x")*1)</f>
        <v>0</v>
      </c>
      <c r="S24" s="151">
        <f t="array" ref="S24">SUM((S$11:S$22="x")*1)</f>
        <v>0</v>
      </c>
      <c r="T24" s="151">
        <f t="array" ref="T24">SUM((T$11:T$22="x")*1)</f>
        <v>0</v>
      </c>
      <c r="U24" s="151">
        <f t="array" ref="U24">SUM((U$11:U$22="x")*1)</f>
        <v>0</v>
      </c>
      <c r="V24" s="151"/>
      <c r="W24" s="151"/>
      <c r="X24" s="151"/>
      <c r="Y24" s="107"/>
    </row>
    <row r="25" spans="1:26" ht="21.75" customHeight="1">
      <c r="A25" s="236"/>
      <c r="B25" s="237"/>
      <c r="C25" s="237"/>
      <c r="D25" s="154" t="s">
        <v>136</v>
      </c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07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pans="1:26" ht="11.25" customHeight="1">
      <c r="A27" s="19"/>
      <c r="B27" s="19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08" t="s">
        <v>55</v>
      </c>
      <c r="X27" s="78"/>
    </row>
    <row r="28" spans="1:26" ht="16.5" customHeight="1">
      <c r="A28" s="19"/>
      <c r="B28" s="19"/>
      <c r="C28" s="20" t="s">
        <v>14</v>
      </c>
      <c r="D28" s="21"/>
      <c r="E28" s="22"/>
      <c r="F28" s="30"/>
      <c r="G28" s="30"/>
      <c r="H28" s="30"/>
      <c r="I28" s="23"/>
      <c r="J28" s="23">
        <v>8278</v>
      </c>
      <c r="K28" s="224">
        <f>E13/27/8</f>
        <v>26388.888888888891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 t="s">
        <v>22</v>
      </c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>
        <f>J28/K28</f>
        <v>0.31369263157894733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 ht="11.25" customHeight="1">
      <c r="A33" s="19"/>
      <c r="B33" s="19"/>
      <c r="C33" s="20"/>
      <c r="D33" s="21"/>
      <c r="E33" s="22"/>
      <c r="F33" s="30"/>
      <c r="G33" s="30"/>
      <c r="H33" s="30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49"/>
      <c r="X33" s="49"/>
    </row>
    <row r="34" spans="1:24">
      <c r="A34" s="24"/>
      <c r="B34" s="24"/>
      <c r="C34" s="29" t="s">
        <v>21</v>
      </c>
      <c r="D34" s="21"/>
      <c r="E34" s="22"/>
      <c r="F34" s="30"/>
      <c r="G34" s="30"/>
      <c r="H34" s="30"/>
      <c r="I34" s="2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79"/>
      <c r="X34" s="50"/>
    </row>
    <row r="35" spans="1:24" ht="9" customHeight="1">
      <c r="C35" s="46"/>
      <c r="D35" s="46"/>
      <c r="E35" s="22"/>
      <c r="F35" s="51"/>
      <c r="G35" s="51"/>
      <c r="H35" s="51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52"/>
      <c r="X35" s="52"/>
    </row>
    <row r="36" spans="1:24">
      <c r="E36" s="22"/>
    </row>
    <row r="37" spans="1:24">
      <c r="E37" s="22"/>
    </row>
    <row r="50" spans="3:14">
      <c r="C50" s="153"/>
      <c r="G50" s="165" t="s">
        <v>116</v>
      </c>
      <c r="J50" s="2" t="s">
        <v>61</v>
      </c>
      <c r="K50" s="2" t="s">
        <v>116</v>
      </c>
      <c r="M50" s="2" t="str">
        <f>VLOOKUP(K50,$G$50:$J$109,4,0)</f>
        <v>ALTP001</v>
      </c>
      <c r="N50" s="231" t="str">
        <f>M50</f>
        <v>ALTP001</v>
      </c>
    </row>
    <row r="51" spans="3:14">
      <c r="C51" s="153"/>
      <c r="G51" s="165" t="s">
        <v>117</v>
      </c>
      <c r="J51" s="2" t="s">
        <v>62</v>
      </c>
      <c r="K51" s="2" t="s">
        <v>117</v>
      </c>
      <c r="M51" s="2" t="str">
        <f t="shared" ref="M51:M80" si="2">VLOOKUP(K51,$G$50:$J$109,4,0)</f>
        <v>ALTP002</v>
      </c>
      <c r="N51" s="231"/>
    </row>
    <row r="52" spans="3:14">
      <c r="C52" s="153"/>
      <c r="G52" s="165" t="s">
        <v>118</v>
      </c>
      <c r="J52" s="2" t="s">
        <v>63</v>
      </c>
      <c r="K52" s="2" t="s">
        <v>118</v>
      </c>
      <c r="M52" s="2" t="str">
        <f t="shared" si="2"/>
        <v>ALTP003</v>
      </c>
      <c r="N52" s="231" t="str">
        <f>M51</f>
        <v>ALTP002</v>
      </c>
    </row>
    <row r="53" spans="3:14">
      <c r="C53" s="153"/>
      <c r="G53" s="165" t="s">
        <v>119</v>
      </c>
      <c r="J53" s="2" t="s">
        <v>64</v>
      </c>
      <c r="K53" s="2" t="s">
        <v>119</v>
      </c>
      <c r="M53" s="2" t="str">
        <f t="shared" si="2"/>
        <v>ALTP004</v>
      </c>
      <c r="N53" s="231"/>
    </row>
    <row r="54" spans="3:14">
      <c r="C54" s="153"/>
      <c r="G54" s="165" t="s">
        <v>120</v>
      </c>
      <c r="J54" s="2" t="s">
        <v>65</v>
      </c>
      <c r="K54" s="2" t="s">
        <v>120</v>
      </c>
      <c r="M54" s="2" t="str">
        <f t="shared" si="2"/>
        <v>ALTP005</v>
      </c>
      <c r="N54" s="231" t="str">
        <f>M52</f>
        <v>ALTP003</v>
      </c>
    </row>
    <row r="55" spans="3:14">
      <c r="C55" s="153"/>
      <c r="G55" s="165" t="s">
        <v>121</v>
      </c>
      <c r="J55" s="2" t="s">
        <v>66</v>
      </c>
      <c r="K55" s="2" t="s">
        <v>121</v>
      </c>
      <c r="M55" s="2" t="str">
        <f t="shared" si="2"/>
        <v>ALTP006</v>
      </c>
      <c r="N55" s="231"/>
    </row>
    <row r="56" spans="3:14">
      <c r="C56" s="153"/>
      <c r="G56" s="165" t="s">
        <v>122</v>
      </c>
      <c r="J56" s="2" t="s">
        <v>67</v>
      </c>
      <c r="K56" s="2" t="s">
        <v>122</v>
      </c>
      <c r="M56" s="2" t="str">
        <f t="shared" si="2"/>
        <v>ALTP007</v>
      </c>
      <c r="N56" s="231" t="str">
        <f>M53</f>
        <v>ALTP004</v>
      </c>
    </row>
    <row r="57" spans="3:14">
      <c r="C57" s="153"/>
      <c r="G57" s="165" t="s">
        <v>123</v>
      </c>
      <c r="J57" s="2" t="s">
        <v>68</v>
      </c>
      <c r="K57" s="2" t="s">
        <v>123</v>
      </c>
      <c r="M57" s="2" t="str">
        <f t="shared" si="2"/>
        <v>ALTP008</v>
      </c>
      <c r="N57" s="231"/>
    </row>
    <row r="58" spans="3:14">
      <c r="C58" s="153"/>
      <c r="G58" s="165" t="s">
        <v>124</v>
      </c>
      <c r="J58" s="2" t="s">
        <v>69</v>
      </c>
      <c r="K58" s="2" t="s">
        <v>124</v>
      </c>
      <c r="M58" s="2" t="str">
        <f t="shared" si="2"/>
        <v>ALTP009</v>
      </c>
      <c r="N58" s="231" t="str">
        <f>M54</f>
        <v>ALTP005</v>
      </c>
    </row>
    <row r="59" spans="3:14">
      <c r="C59" s="153"/>
      <c r="G59" s="165" t="s">
        <v>125</v>
      </c>
      <c r="J59" s="2" t="s">
        <v>70</v>
      </c>
      <c r="K59" s="2" t="s">
        <v>125</v>
      </c>
      <c r="M59" s="2" t="str">
        <f t="shared" si="2"/>
        <v>ALTP010</v>
      </c>
      <c r="N59" s="231"/>
    </row>
    <row r="60" spans="3:14">
      <c r="C60" s="153"/>
      <c r="G60" s="165" t="s">
        <v>126</v>
      </c>
      <c r="J60" s="2" t="s">
        <v>71</v>
      </c>
      <c r="K60" s="2" t="s">
        <v>126</v>
      </c>
      <c r="M60" s="2" t="str">
        <f t="shared" si="2"/>
        <v>ALTP011</v>
      </c>
      <c r="N60" s="231" t="str">
        <f>M55</f>
        <v>ALTP006</v>
      </c>
    </row>
    <row r="61" spans="3:14">
      <c r="C61" s="153"/>
      <c r="G61" s="165" t="s">
        <v>127</v>
      </c>
      <c r="J61" s="2" t="s">
        <v>72</v>
      </c>
      <c r="K61" s="2" t="s">
        <v>128</v>
      </c>
      <c r="M61" s="2" t="str">
        <f t="shared" si="2"/>
        <v>ALTP013</v>
      </c>
      <c r="N61" s="231"/>
    </row>
    <row r="62" spans="3:14">
      <c r="C62" s="153"/>
      <c r="G62" s="165" t="s">
        <v>128</v>
      </c>
      <c r="J62" s="2" t="s">
        <v>73</v>
      </c>
      <c r="K62" s="2" t="s">
        <v>129</v>
      </c>
      <c r="M62" s="2" t="str">
        <f t="shared" si="2"/>
        <v>ALTP014</v>
      </c>
      <c r="N62" s="231" t="str">
        <f>M56</f>
        <v>ALTP007</v>
      </c>
    </row>
    <row r="63" spans="3:14">
      <c r="C63" s="153"/>
      <c r="G63" s="165" t="s">
        <v>129</v>
      </c>
      <c r="J63" s="2" t="s">
        <v>74</v>
      </c>
      <c r="K63" s="2" t="s">
        <v>130</v>
      </c>
      <c r="M63" s="2" t="str">
        <f t="shared" si="2"/>
        <v>ALTP015</v>
      </c>
      <c r="N63" s="231"/>
    </row>
    <row r="64" spans="3:14">
      <c r="C64" s="153"/>
      <c r="G64" s="165" t="s">
        <v>130</v>
      </c>
      <c r="J64" s="2" t="s">
        <v>75</v>
      </c>
      <c r="K64" s="2" t="s">
        <v>131</v>
      </c>
      <c r="M64" s="2" t="str">
        <f t="shared" si="2"/>
        <v>ALTP016</v>
      </c>
      <c r="N64" s="231" t="str">
        <f>M57</f>
        <v>ALTP008</v>
      </c>
    </row>
    <row r="65" spans="3:14">
      <c r="C65" s="153"/>
      <c r="G65" s="165" t="s">
        <v>131</v>
      </c>
      <c r="J65" s="2" t="s">
        <v>76</v>
      </c>
      <c r="K65" s="2" t="s">
        <v>132</v>
      </c>
      <c r="M65" s="2" t="str">
        <f t="shared" si="2"/>
        <v>ALTP017</v>
      </c>
      <c r="N65" s="231"/>
    </row>
    <row r="66" spans="3:14">
      <c r="C66" s="153"/>
      <c r="G66" s="165" t="s">
        <v>132</v>
      </c>
      <c r="J66" s="2" t="s">
        <v>77</v>
      </c>
      <c r="K66" s="2" t="s">
        <v>133</v>
      </c>
      <c r="M66" s="2" t="str">
        <f t="shared" si="2"/>
        <v>ALTP018</v>
      </c>
      <c r="N66" s="231" t="str">
        <f>M58</f>
        <v>ALTP009</v>
      </c>
    </row>
    <row r="67" spans="3:14">
      <c r="C67" s="153"/>
      <c r="G67" s="165" t="s">
        <v>133</v>
      </c>
      <c r="J67" s="2" t="s">
        <v>78</v>
      </c>
      <c r="K67" s="2" t="s">
        <v>137</v>
      </c>
      <c r="M67" s="2" t="str">
        <f t="shared" si="2"/>
        <v>ALTP019</v>
      </c>
      <c r="N67" s="231"/>
    </row>
    <row r="68" spans="3:14">
      <c r="C68" s="153"/>
      <c r="G68" s="165" t="s">
        <v>137</v>
      </c>
      <c r="J68" s="2" t="s">
        <v>79</v>
      </c>
      <c r="K68" s="2" t="s">
        <v>139</v>
      </c>
      <c r="M68" s="2" t="str">
        <f t="shared" si="2"/>
        <v>ALTP020</v>
      </c>
      <c r="N68" s="231" t="str">
        <f>M59</f>
        <v>ALTP010</v>
      </c>
    </row>
    <row r="69" spans="3:14">
      <c r="C69" s="153"/>
      <c r="G69" s="165" t="s">
        <v>139</v>
      </c>
      <c r="J69" s="2" t="s">
        <v>80</v>
      </c>
      <c r="K69" s="2" t="s">
        <v>144</v>
      </c>
      <c r="M69" s="2" t="str">
        <f t="shared" si="2"/>
        <v>ALTP025</v>
      </c>
      <c r="N69" s="231"/>
    </row>
    <row r="70" spans="3:14">
      <c r="C70" s="153"/>
      <c r="G70" s="165" t="s">
        <v>140</v>
      </c>
      <c r="J70" s="2" t="s">
        <v>81</v>
      </c>
      <c r="K70" s="2" t="s">
        <v>151</v>
      </c>
      <c r="M70" s="2" t="str">
        <f t="shared" si="2"/>
        <v>ALTP027</v>
      </c>
      <c r="N70" s="231" t="str">
        <f>M60</f>
        <v>ALTP011</v>
      </c>
    </row>
    <row r="71" spans="3:14">
      <c r="C71" s="153"/>
      <c r="G71" s="165" t="s">
        <v>141</v>
      </c>
      <c r="J71" s="2" t="s">
        <v>82</v>
      </c>
      <c r="K71" s="2" t="s">
        <v>99</v>
      </c>
      <c r="M71" s="2" t="str">
        <f t="shared" si="2"/>
        <v>ALTN001</v>
      </c>
      <c r="N71" s="231"/>
    </row>
    <row r="72" spans="3:14">
      <c r="C72" s="153"/>
      <c r="G72" s="165" t="s">
        <v>151</v>
      </c>
      <c r="J72" s="2" t="s">
        <v>87</v>
      </c>
      <c r="K72" s="2" t="s">
        <v>100</v>
      </c>
      <c r="M72" s="2" t="str">
        <f t="shared" si="2"/>
        <v>ALTN002</v>
      </c>
      <c r="N72" s="231" t="str">
        <f>M61</f>
        <v>ALTP013</v>
      </c>
    </row>
    <row r="73" spans="3:14">
      <c r="C73" s="153"/>
      <c r="G73" s="2" t="s">
        <v>142</v>
      </c>
      <c r="J73" s="2" t="s">
        <v>83</v>
      </c>
      <c r="K73" s="2" t="s">
        <v>101</v>
      </c>
      <c r="M73" s="2" t="str">
        <f t="shared" si="2"/>
        <v>ALTN003</v>
      </c>
      <c r="N73" s="231"/>
    </row>
    <row r="74" spans="3:14">
      <c r="C74" s="153"/>
      <c r="G74" s="2" t="s">
        <v>143</v>
      </c>
      <c r="J74" s="2" t="s">
        <v>84</v>
      </c>
      <c r="K74" s="2" t="s">
        <v>150</v>
      </c>
      <c r="M74" s="2" t="str">
        <f t="shared" si="2"/>
        <v>ALTN004</v>
      </c>
      <c r="N74" s="231" t="str">
        <f>M62</f>
        <v>ALTP014</v>
      </c>
    </row>
    <row r="75" spans="3:14">
      <c r="C75" s="153"/>
      <c r="G75" s="2" t="s">
        <v>144</v>
      </c>
      <c r="J75" s="2" t="s">
        <v>85</v>
      </c>
      <c r="K75" s="2" t="s">
        <v>103</v>
      </c>
      <c r="M75" s="2" t="str">
        <f t="shared" si="2"/>
        <v>ALTN006</v>
      </c>
      <c r="N75" s="231"/>
    </row>
    <row r="76" spans="3:14">
      <c r="C76" s="153"/>
      <c r="G76" s="2" t="s">
        <v>149</v>
      </c>
      <c r="J76" s="2" t="s">
        <v>86</v>
      </c>
      <c r="K76" s="2" t="s">
        <v>138</v>
      </c>
      <c r="M76" s="2" t="str">
        <f t="shared" si="2"/>
        <v>ALTN007</v>
      </c>
      <c r="N76" s="231" t="str">
        <f>M63</f>
        <v>ALTP015</v>
      </c>
    </row>
    <row r="77" spans="3:14">
      <c r="C77" s="153"/>
      <c r="G77" s="2" t="s">
        <v>99</v>
      </c>
      <c r="J77" s="2" t="s">
        <v>88</v>
      </c>
      <c r="K77" s="2" t="s">
        <v>145</v>
      </c>
      <c r="M77" s="2" t="str">
        <f t="shared" si="2"/>
        <v>ALTN008</v>
      </c>
      <c r="N77" s="231"/>
    </row>
    <row r="78" spans="3:14">
      <c r="C78" s="153"/>
      <c r="G78" s="2" t="s">
        <v>100</v>
      </c>
      <c r="J78" s="2" t="s">
        <v>89</v>
      </c>
      <c r="K78" s="2" t="s">
        <v>146</v>
      </c>
      <c r="M78" s="2" t="str">
        <f t="shared" si="2"/>
        <v>ALTN009</v>
      </c>
      <c r="N78" s="231" t="str">
        <f>M64</f>
        <v>ALTP016</v>
      </c>
    </row>
    <row r="79" spans="3:14">
      <c r="C79" s="153"/>
      <c r="G79" s="2" t="s">
        <v>101</v>
      </c>
      <c r="J79" s="2" t="s">
        <v>90</v>
      </c>
      <c r="K79" s="2" t="s">
        <v>147</v>
      </c>
      <c r="M79" s="2" t="str">
        <f t="shared" si="2"/>
        <v>ALTN010</v>
      </c>
      <c r="N79" s="231"/>
    </row>
    <row r="80" spans="3:14">
      <c r="C80" s="153"/>
      <c r="G80" s="2" t="s">
        <v>150</v>
      </c>
      <c r="J80" s="2" t="s">
        <v>91</v>
      </c>
      <c r="K80" s="2" t="s">
        <v>148</v>
      </c>
      <c r="M80" s="2" t="str">
        <f t="shared" si="2"/>
        <v>ALTN011</v>
      </c>
      <c r="N80" s="231" t="str">
        <f>M65</f>
        <v>ALTP017</v>
      </c>
    </row>
    <row r="81" spans="3:14">
      <c r="C81" s="153"/>
      <c r="G81" s="2" t="s">
        <v>102</v>
      </c>
      <c r="J81" s="2" t="s">
        <v>92</v>
      </c>
      <c r="N81" s="231"/>
    </row>
    <row r="82" spans="3:14">
      <c r="C82" s="153"/>
      <c r="G82" s="31" t="s">
        <v>103</v>
      </c>
      <c r="J82" s="2" t="s">
        <v>93</v>
      </c>
      <c r="N82" s="231" t="str">
        <f>M66</f>
        <v>ALTP018</v>
      </c>
    </row>
    <row r="83" spans="3:14">
      <c r="C83" s="153"/>
      <c r="G83" s="31" t="s">
        <v>138</v>
      </c>
      <c r="J83" s="2" t="s">
        <v>94</v>
      </c>
      <c r="N83" s="231"/>
    </row>
    <row r="84" spans="3:14">
      <c r="C84" s="153"/>
      <c r="G84" s="31" t="s">
        <v>145</v>
      </c>
      <c r="J84" s="2" t="s">
        <v>95</v>
      </c>
      <c r="N84" s="231" t="str">
        <f>M67</f>
        <v>ALTP019</v>
      </c>
    </row>
    <row r="85" spans="3:14">
      <c r="C85" s="153"/>
      <c r="G85" s="31" t="s">
        <v>146</v>
      </c>
      <c r="J85" s="2" t="s">
        <v>96</v>
      </c>
      <c r="N85" s="231"/>
    </row>
    <row r="86" spans="3:14">
      <c r="C86" s="153"/>
      <c r="G86" s="31" t="s">
        <v>147</v>
      </c>
      <c r="J86" s="2" t="s">
        <v>97</v>
      </c>
      <c r="N86" s="231" t="str">
        <f>M68</f>
        <v>ALTP020</v>
      </c>
    </row>
    <row r="87" spans="3:14">
      <c r="C87" s="153"/>
      <c r="G87" s="31" t="s">
        <v>148</v>
      </c>
      <c r="J87" s="2" t="s">
        <v>98</v>
      </c>
      <c r="N87" s="231"/>
    </row>
    <row r="88" spans="3:14">
      <c r="C88" s="153"/>
      <c r="N88" s="231" t="str">
        <f>M69</f>
        <v>ALTP025</v>
      </c>
    </row>
    <row r="89" spans="3:14">
      <c r="C89" s="153"/>
      <c r="N89" s="231"/>
    </row>
    <row r="90" spans="3:14">
      <c r="C90" s="153"/>
      <c r="N90" s="231" t="str">
        <f>M70</f>
        <v>ALTP027</v>
      </c>
    </row>
    <row r="91" spans="3:14">
      <c r="C91" s="153"/>
      <c r="N91" s="231"/>
    </row>
    <row r="92" spans="3:14">
      <c r="C92" s="153"/>
      <c r="N92" s="231" t="str">
        <f>M71</f>
        <v>ALTN001</v>
      </c>
    </row>
    <row r="93" spans="3:14">
      <c r="C93" s="153"/>
      <c r="N93" s="231"/>
    </row>
    <row r="94" spans="3:14">
      <c r="C94" s="153"/>
      <c r="N94" s="231" t="str">
        <f>M72</f>
        <v>ALTN002</v>
      </c>
    </row>
    <row r="95" spans="3:14">
      <c r="C95" s="153"/>
      <c r="N95" s="231"/>
    </row>
    <row r="96" spans="3:14">
      <c r="C96" s="153"/>
      <c r="N96" s="231" t="str">
        <f>M73</f>
        <v>ALTN003</v>
      </c>
    </row>
    <row r="97" spans="3:14">
      <c r="C97" s="153"/>
      <c r="N97" s="231"/>
    </row>
    <row r="98" spans="3:14">
      <c r="C98" s="153"/>
      <c r="N98" s="231" t="str">
        <f>M74</f>
        <v>ALTN004</v>
      </c>
    </row>
    <row r="99" spans="3:14">
      <c r="C99" s="153"/>
      <c r="N99" s="231"/>
    </row>
    <row r="100" spans="3:14">
      <c r="C100" s="153"/>
      <c r="N100" s="231" t="str">
        <f>M75</f>
        <v>ALTN006</v>
      </c>
    </row>
    <row r="101" spans="3:14">
      <c r="C101" s="153"/>
      <c r="N101" s="231"/>
    </row>
    <row r="102" spans="3:14">
      <c r="C102" s="153"/>
      <c r="N102" s="231" t="str">
        <f>M76</f>
        <v>ALTN007</v>
      </c>
    </row>
    <row r="103" spans="3:14">
      <c r="C103" s="153"/>
      <c r="N103" s="231"/>
    </row>
    <row r="104" spans="3:14">
      <c r="C104" s="153"/>
      <c r="N104" s="231" t="str">
        <f>M77</f>
        <v>ALTN008</v>
      </c>
    </row>
    <row r="105" spans="3:14">
      <c r="C105" s="153"/>
      <c r="N105" s="231"/>
    </row>
    <row r="106" spans="3:14">
      <c r="C106" s="153"/>
      <c r="N106" s="231" t="str">
        <f>M78</f>
        <v>ALTN009</v>
      </c>
    </row>
    <row r="107" spans="3:14">
      <c r="C107" s="153"/>
      <c r="N107" s="231"/>
    </row>
    <row r="108" spans="3:14">
      <c r="C108" s="153"/>
      <c r="N108" s="231" t="str">
        <f>M79</f>
        <v>ALTN010</v>
      </c>
    </row>
    <row r="109" spans="3:14">
      <c r="C109" s="153"/>
      <c r="N109" s="231"/>
    </row>
    <row r="110" spans="3:14">
      <c r="C110" s="153"/>
      <c r="N110" s="231" t="str">
        <f>M80</f>
        <v>ALTN011</v>
      </c>
    </row>
    <row r="111" spans="3:14">
      <c r="C111" s="153"/>
      <c r="N111" s="231"/>
    </row>
  </sheetData>
  <protectedRanges>
    <protectedRange password="CC78" sqref="E38:E65339 B8:D9 W8:W9 B26:B65339 C35:D65339 F35:JG49 F101:M101 Y8:JG12 F50 H50:J50 L50:JG50 L51:L77 F88:L100 N51:JG101 M51:M80 F102:JG65339 K78:L87 F51:J71 F73:J87 F72 H72:J72 F8:H8 J21:JG25 C21:H25 B10:X10 J11:X12 J13:JG13 V14:JG20 A8:A65339 G11:H20 E11:E20" name="Range1"/>
    <protectedRange password="CC78" sqref="C28:C33 E35:E37 W28:JG33 D28:H34" name="Range1_1_1"/>
    <protectedRange password="CC78" sqref="C34 W34:JG34" name="Range1_3_1"/>
    <protectedRange password="CC78" sqref="A5:JG7" name="Range1_2"/>
    <protectedRange password="CC78" sqref="I8:V9 I11:I25" name="Range1_3"/>
    <protectedRange password="CC78" sqref="B21:B25" name="Range1_1"/>
    <protectedRange password="CC78" sqref="E8:E9 F9" name="Range1_4"/>
    <protectedRange password="CC78" sqref="J11:U20" name="Range1_11"/>
    <protectedRange password="CC78" sqref="C17:D17 C20:D20" name="Range1_5"/>
    <protectedRange password="CC78" sqref="B14:B20" name="Range1_6_1"/>
    <protectedRange password="CC78" sqref="D18:D19 D14:D16" name="Range1_7_1"/>
    <protectedRange password="CC78" sqref="F11:F20" name="Range1_8"/>
  </protectedRanges>
  <autoFilter ref="A10:Z16"/>
  <mergeCells count="45">
    <mergeCell ref="N106:N107"/>
    <mergeCell ref="N108:N109"/>
    <mergeCell ref="N110:N111"/>
    <mergeCell ref="J8:U8"/>
    <mergeCell ref="V8:V9"/>
    <mergeCell ref="N78:N79"/>
    <mergeCell ref="N80:N81"/>
    <mergeCell ref="N82:N83"/>
    <mergeCell ref="N84:N85"/>
    <mergeCell ref="N86:N87"/>
    <mergeCell ref="N88:N89"/>
    <mergeCell ref="N102:N103"/>
    <mergeCell ref="N104:N105"/>
    <mergeCell ref="N100:N101"/>
    <mergeCell ref="N90:N91"/>
    <mergeCell ref="N92:N93"/>
    <mergeCell ref="N66:N67"/>
    <mergeCell ref="N68:N69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4:N95"/>
    <mergeCell ref="N96:N97"/>
    <mergeCell ref="N98:N99"/>
    <mergeCell ref="A23:C25"/>
    <mergeCell ref="N70:N71"/>
    <mergeCell ref="N72:N73"/>
    <mergeCell ref="N74:N75"/>
    <mergeCell ref="N76:N77"/>
    <mergeCell ref="N50:N51"/>
    <mergeCell ref="N52:N53"/>
    <mergeCell ref="N54:N55"/>
    <mergeCell ref="N56:N57"/>
    <mergeCell ref="N58:N59"/>
    <mergeCell ref="N60:N61"/>
    <mergeCell ref="N62:N63"/>
    <mergeCell ref="N64:N6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9" activePane="bottomRight" state="frozen"/>
      <selection activeCell="A2" sqref="A2:A3"/>
      <selection pane="topRight" activeCell="A2" sqref="A2:A3"/>
      <selection pane="bottomLeft" activeCell="A2" sqref="A2:A3"/>
      <selection pane="bottomRight" activeCell="A24" sqref="A24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42370</v>
      </c>
      <c r="G5" s="118">
        <f t="shared" ref="G5:AJ5" si="0">F5+1</f>
        <v>42371</v>
      </c>
      <c r="H5" s="118">
        <f t="shared" si="0"/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/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4">
        <f t="shared" ref="AK9" si="2">((SUM(F9:AJ9))/8)-(SUMIF($F$6:$AJ$6,"C.Nhật",F9:AJ9)/8)</f>
        <v>25</v>
      </c>
      <c r="AL9" s="244">
        <f t="shared" ref="AL9" si="3">SUM(F10:AJ10)/8*1.5</f>
        <v>0</v>
      </c>
      <c r="AM9" s="246">
        <f t="shared" ref="AM9:AM13" si="4">SUMIF($F$6:$AJ$6,"C.Nhật",$F9:$AJ10)/8*2</f>
        <v>0</v>
      </c>
      <c r="AN9" s="248">
        <f t="shared" ref="AN9" si="5">SUM(AK9:AM10)</f>
        <v>25</v>
      </c>
      <c r="AO9" s="250">
        <v>0</v>
      </c>
      <c r="AP9" s="248"/>
      <c r="AQ9" s="248"/>
      <c r="AR9" s="248"/>
      <c r="AS9" s="258"/>
      <c r="AT9" s="22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22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/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4">
        <f t="shared" ref="AK11" si="6">((SUM(F11:AJ11))/8)-(SUMIF($F$6:$AJ$6,"C.Nhật",F11:AJ11)/8)</f>
        <v>25</v>
      </c>
      <c r="AL11" s="244">
        <f t="shared" ref="AL11" si="7">SUM(F12:AJ12)/8*1.5</f>
        <v>0</v>
      </c>
      <c r="AM11" s="246">
        <f t="shared" si="4"/>
        <v>0</v>
      </c>
      <c r="AN11" s="248">
        <f t="shared" ref="AN11" si="8">SUM(AK11:AM12)</f>
        <v>25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/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4">
        <f t="shared" ref="AK13" si="9">((SUM(F13:AJ13))/8)-(SUMIF($F$6:$AJ$6,"C.Nhật",F13:AJ13)/8)</f>
        <v>25</v>
      </c>
      <c r="AL13" s="244">
        <f t="shared" ref="AL13" si="10">SUM(F14:AJ14)/8*1.5</f>
        <v>0</v>
      </c>
      <c r="AM13" s="246">
        <f t="shared" si="4"/>
        <v>0</v>
      </c>
      <c r="AN13" s="248">
        <f t="shared" ref="AN13" si="11">SUM(AK13:AM14)</f>
        <v>25</v>
      </c>
      <c r="AO13" s="250">
        <v>0</v>
      </c>
      <c r="AP13" s="248"/>
      <c r="AQ13" s="248"/>
      <c r="AR13" s="248"/>
      <c r="AS13" s="258"/>
      <c r="AT13" s="22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22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/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4">
        <f t="shared" ref="AK16" si="12">((SUM(F16:AJ16))/8)-(SUMIF($F$6:$AJ$6,"C.Nhật",F16:AJ16)/8)</f>
        <v>25</v>
      </c>
      <c r="AL16" s="244">
        <f t="shared" ref="AL16" si="13">SUM(F17:AJ17)/8*1.5</f>
        <v>0</v>
      </c>
      <c r="AM16" s="246">
        <f>SUMIF($F$6:$AJ$6,"C.Nhật",$F16:$AJ17)/8*2</f>
        <v>0</v>
      </c>
      <c r="AN16" s="248">
        <f>SUM(AK16:AM17)</f>
        <v>25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/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4">
        <f t="shared" ref="AK18" si="14">((SUM(F18:AJ18))/8)-(SUMIF($F$6:$AJ$6,"C.Nhật",F18:AJ18)/8)</f>
        <v>25</v>
      </c>
      <c r="AL18" s="244">
        <f t="shared" ref="AL18" si="15">SUM(F19:AJ19)/8*1.5</f>
        <v>0</v>
      </c>
      <c r="AM18" s="246">
        <f>SUMIF($F$6:$AJ$6,"C.Nhật",$F18:$AJ19)/8*2</f>
        <v>0</v>
      </c>
      <c r="AN18" s="248">
        <f t="shared" ref="AN18" si="16">SUM(AK18:AM19)</f>
        <v>25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/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4">
        <f t="shared" ref="AK20" si="17">((SUM(F20:AJ20))/8)-(SUMIF($F$6:$AJ$6,"C.Nhật",F20:AJ20)/8)</f>
        <v>25</v>
      </c>
      <c r="AL20" s="244">
        <f t="shared" ref="AL20" si="18">SUM(F21:AJ21)/8*1.5</f>
        <v>0</v>
      </c>
      <c r="AM20" s="246">
        <f>SUMIF($F$6:$AJ$6,"C.Nhật",$F20:$AJ21)/8*2</f>
        <v>0</v>
      </c>
      <c r="AN20" s="248">
        <f t="shared" ref="AN20" si="19">SUM(AK20:AM21)</f>
        <v>25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/>
      <c r="G22" s="143">
        <v>8</v>
      </c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/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/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/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44">
        <f t="shared" ref="AK22" si="20">((SUM(F22:AJ22))/8)-(SUMIF($F$6:$AJ$6,"C.Nhật",F22:AJ22)/8)</f>
        <v>25</v>
      </c>
      <c r="AL22" s="244">
        <f t="shared" ref="AL22" si="21">SUM(F23:AJ23)/8*1.5</f>
        <v>0</v>
      </c>
      <c r="AM22" s="246">
        <f>SUMIF($F$6:$AJ$6,"C.Nhật",$F22:$AJ23)/8*2</f>
        <v>0</v>
      </c>
      <c r="AN22" s="248">
        <f t="shared" ref="AN22" si="22">SUM(AK22:AM23)</f>
        <v>25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/>
      <c r="G24" s="143">
        <v>8</v>
      </c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/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/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/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44">
        <f t="shared" ref="AK24" si="23">((SUM(F24:AJ24))/8)-(SUMIF($F$6:$AJ$6,"C.Nhật",F24:AJ24)/8)</f>
        <v>25</v>
      </c>
      <c r="AL24" s="244">
        <f t="shared" ref="AL24" si="24">SUM(F25:AJ25)/8*1.5</f>
        <v>0</v>
      </c>
      <c r="AM24" s="246">
        <f>SUMIF($F$6:$AJ$6,"C.Nhật",$F24:$AJ25)/8*2</f>
        <v>0</v>
      </c>
      <c r="AN24" s="248">
        <f t="shared" ref="AN24" si="25">SUM(AK24:AM25)</f>
        <v>25</v>
      </c>
      <c r="AO24" s="250">
        <v>0</v>
      </c>
      <c r="AP24" s="248"/>
      <c r="AQ24" s="248"/>
      <c r="AR24" s="248"/>
      <c r="AS24" s="258"/>
      <c r="AT24" s="22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/>
      <c r="G26" s="143">
        <v>8</v>
      </c>
      <c r="H26" s="143"/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/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/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/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/>
      <c r="AK26" s="244">
        <f t="shared" ref="AK26" si="26">((SUM(F26:AJ26))/8)-(SUMIF($F$6:$AJ$6,"C.Nhật",F26:AJ26)/8)</f>
        <v>25</v>
      </c>
      <c r="AL26" s="244">
        <f t="shared" ref="AL26" si="27">SUM(F27:AJ27)/8*1.5</f>
        <v>0</v>
      </c>
      <c r="AM26" s="246">
        <f>SUMIF($F$6:$AJ$6,"C.Nhật",$F26:$AJ27)/8*2</f>
        <v>0</v>
      </c>
      <c r="AN26" s="248">
        <f t="shared" ref="AN26" si="28">SUM(AK26:AM27)</f>
        <v>25</v>
      </c>
      <c r="AO26" s="250">
        <v>0</v>
      </c>
      <c r="AP26" s="248"/>
      <c r="AQ26" s="248"/>
      <c r="AR26" s="248"/>
      <c r="AS26" s="258"/>
      <c r="AT26" s="22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/>
      <c r="G28" s="143">
        <v>8</v>
      </c>
      <c r="H28" s="143"/>
      <c r="I28" s="143">
        <v>8</v>
      </c>
      <c r="J28" s="143">
        <v>8</v>
      </c>
      <c r="K28" s="143">
        <v>8</v>
      </c>
      <c r="L28" s="143">
        <v>8</v>
      </c>
      <c r="M28" s="143">
        <v>8</v>
      </c>
      <c r="N28" s="143">
        <v>8</v>
      </c>
      <c r="O28" s="143"/>
      <c r="P28" s="143">
        <v>8</v>
      </c>
      <c r="Q28" s="143">
        <v>8</v>
      </c>
      <c r="R28" s="143">
        <v>8</v>
      </c>
      <c r="S28" s="143">
        <v>8</v>
      </c>
      <c r="T28" s="143">
        <v>8</v>
      </c>
      <c r="U28" s="143">
        <v>8</v>
      </c>
      <c r="V28" s="143"/>
      <c r="W28" s="143">
        <v>8</v>
      </c>
      <c r="X28" s="143">
        <v>8</v>
      </c>
      <c r="Y28" s="143">
        <v>8</v>
      </c>
      <c r="Z28" s="143">
        <v>8</v>
      </c>
      <c r="AA28" s="143">
        <v>8</v>
      </c>
      <c r="AB28" s="143">
        <v>8</v>
      </c>
      <c r="AC28" s="143"/>
      <c r="AD28" s="143">
        <v>8</v>
      </c>
      <c r="AE28" s="143">
        <v>8</v>
      </c>
      <c r="AF28" s="143">
        <v>8</v>
      </c>
      <c r="AG28" s="143">
        <v>8</v>
      </c>
      <c r="AH28" s="143">
        <v>8</v>
      </c>
      <c r="AI28" s="143">
        <v>8</v>
      </c>
      <c r="AJ28" s="143"/>
      <c r="AK28" s="244">
        <f t="shared" ref="AK28" si="29">((SUM(F28:AJ28))/8)-(SUMIF($F$6:$AJ$6,"C.Nhật",F28:AJ28)/8)</f>
        <v>25</v>
      </c>
      <c r="AL28" s="244">
        <f t="shared" ref="AL28" si="30">SUM(F29:AJ29)/8*1.5</f>
        <v>0</v>
      </c>
      <c r="AM28" s="246">
        <f>SUMIF($F$6:$AJ$6,"C.Nhật",$F28:$AJ29)/8*2</f>
        <v>0</v>
      </c>
      <c r="AN28" s="248">
        <f t="shared" ref="AN28" si="31">SUM(AK28:AM29)</f>
        <v>25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91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91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91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91" s="73" customFormat="1" ht="12.75">
      <c r="A37" s="2"/>
      <c r="B37" s="2" t="s">
        <v>0</v>
      </c>
      <c r="C37" s="2"/>
      <c r="D37" s="219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91" s="73" customFormat="1" ht="12.75">
      <c r="A38" s="2"/>
      <c r="B38" s="2"/>
      <c r="C38" s="2" t="s">
        <v>46</v>
      </c>
      <c r="D38" s="219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9" customFormat="1" ht="15" customHeight="1">
      <c r="A41" s="2"/>
      <c r="B41" s="2"/>
      <c r="C41" s="2" t="s">
        <v>49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9" customFormat="1" ht="15" customHeight="1">
      <c r="A42" s="2"/>
      <c r="B42" s="2"/>
      <c r="C42" s="2" t="s">
        <v>50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9" customFormat="1" ht="15" customHeight="1">
      <c r="A43" s="2"/>
      <c r="B43" s="2"/>
      <c r="C43" s="2" t="s">
        <v>51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9" customFormat="1" ht="15" customHeight="1">
      <c r="A44" s="2"/>
      <c r="B44" s="2"/>
      <c r="C44" s="2" t="s">
        <v>52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9" customFormat="1" ht="15" customHeight="1">
      <c r="A45" s="2"/>
      <c r="B45" s="2"/>
      <c r="C45" s="2" t="s">
        <v>53</v>
      </c>
      <c r="E45" s="2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4"/>
      <c r="AI45" s="124"/>
      <c r="AJ45" s="124"/>
      <c r="AK45" s="2"/>
      <c r="AL45" s="2"/>
      <c r="AM45" s="10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9" customFormat="1" ht="15" customHeight="1">
      <c r="A46" s="2"/>
      <c r="B46" s="2"/>
      <c r="C46" s="2" t="s">
        <v>54</v>
      </c>
      <c r="E46" s="2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4"/>
      <c r="AI46" s="124"/>
      <c r="AJ46" s="124"/>
      <c r="AK46" s="2"/>
      <c r="AL46" s="2"/>
      <c r="AM46" s="10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P28:AP29"/>
    <mergeCell ref="AQ28:AQ29"/>
    <mergeCell ref="AR28:AR29"/>
    <mergeCell ref="AS28:AS29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R16:AR17"/>
    <mergeCell ref="AS16:AS1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13:A14"/>
    <mergeCell ref="B13:B14"/>
    <mergeCell ref="C13:C14"/>
    <mergeCell ref="D13:D14"/>
    <mergeCell ref="AK13:AK14"/>
    <mergeCell ref="AL13:AL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6:AP17"/>
    <mergeCell ref="AQ16:AQ17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22:D23"/>
    <mergeCell ref="AK22:AK23"/>
    <mergeCell ref="AQ11:AQ12"/>
    <mergeCell ref="AR11:AR12"/>
    <mergeCell ref="AS11:AS12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1:AL12"/>
    <mergeCell ref="AM11:AM12"/>
    <mergeCell ref="AN11:AN12"/>
    <mergeCell ref="AO11:AO12"/>
    <mergeCell ref="AP11:AP12"/>
    <mergeCell ref="A11:A12"/>
    <mergeCell ref="AQ22:AQ23"/>
    <mergeCell ref="AR22:AR23"/>
    <mergeCell ref="AS22:AS23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22:AL23"/>
    <mergeCell ref="AM22:AM23"/>
    <mergeCell ref="AN22:AN23"/>
    <mergeCell ref="AO22:AO23"/>
    <mergeCell ref="AP22:AP23"/>
    <mergeCell ref="A22:A23"/>
    <mergeCell ref="B22:B23"/>
    <mergeCell ref="C22:C23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D26:D27"/>
    <mergeCell ref="AK26:AK27"/>
  </mergeCells>
  <conditionalFormatting sqref="F5:AJ6 G9 G11 G13 H9:AJ14">
    <cfRule type="expression" dxfId="141" priority="43" stopIfTrue="1">
      <formula>IF(WEEKDAY(F$5)=1,TRUE,FALSE)</formula>
    </cfRule>
  </conditionalFormatting>
  <conditionalFormatting sqref="G9 G11 G13 H9:AJ14">
    <cfRule type="expression" dxfId="140" priority="42" stopIfTrue="1">
      <formula>IF(WEEKDAY(G$5)=1,TRUE,FALSE)</formula>
    </cfRule>
  </conditionalFormatting>
  <conditionalFormatting sqref="F10:G10 F9 F12:G12 F14:G14 F11 F13">
    <cfRule type="expression" dxfId="139" priority="40" stopIfTrue="1">
      <formula>IF(WEEKDAY(F$5)=1,TRUE,FALSE)</formula>
    </cfRule>
  </conditionalFormatting>
  <conditionalFormatting sqref="F10:G10 F9 F12:G12 F14:G14 F11 F13">
    <cfRule type="expression" dxfId="138" priority="39" stopIfTrue="1">
      <formula>IF(WEEKDAY(F$5)=1,TRUE,FALSE)</formula>
    </cfRule>
  </conditionalFormatting>
  <conditionalFormatting sqref="G16 G18 G20 G22 G24 G28 H16:AJ25 H28:AJ29">
    <cfRule type="expression" dxfId="137" priority="8" stopIfTrue="1">
      <formula>IF(WEEKDAY(G$5)=1,TRUE,FALSE)</formula>
    </cfRule>
  </conditionalFormatting>
  <conditionalFormatting sqref="G16 G18 G20 G22 G24 G28 H16:AJ25 H28:AJ29">
    <cfRule type="expression" dxfId="136" priority="7" stopIfTrue="1">
      <formula>IF(WEEKDAY(G$5)=1,TRUE,FALSE)</formula>
    </cfRule>
  </conditionalFormatting>
  <conditionalFormatting sqref="F17:G17 F16 F19:G19 F21:G21 F18 F20 F23:G23 F22 F25:G25 F29:G29 F24 F28">
    <cfRule type="expression" dxfId="135" priority="6" stopIfTrue="1">
      <formula>IF(WEEKDAY(F$5)=1,TRUE,FALSE)</formula>
    </cfRule>
  </conditionalFormatting>
  <conditionalFormatting sqref="F17:G17 F16 F19:G19 F21:G21 F18 F20 F23:G23 F22 F25:G25 F29:G29 F24 F28">
    <cfRule type="expression" dxfId="134" priority="5" stopIfTrue="1">
      <formula>IF(WEEKDAY(F$5)=1,TRUE,FALSE)</formula>
    </cfRule>
  </conditionalFormatting>
  <conditionalFormatting sqref="G26 H26:AJ27">
    <cfRule type="expression" dxfId="133" priority="4" stopIfTrue="1">
      <formula>IF(WEEKDAY(G$5)=1,TRUE,FALSE)</formula>
    </cfRule>
  </conditionalFormatting>
  <conditionalFormatting sqref="G26 H26:AJ27">
    <cfRule type="expression" dxfId="132" priority="3" stopIfTrue="1">
      <formula>IF(WEEKDAY(G$5)=1,TRUE,FALSE)</formula>
    </cfRule>
  </conditionalFormatting>
  <conditionalFormatting sqref="F27:G27 F26">
    <cfRule type="expression" dxfId="131" priority="2" stopIfTrue="1">
      <formula>IF(WEEKDAY(F$5)=1,TRUE,FALSE)</formula>
    </cfRule>
  </conditionalFormatting>
  <conditionalFormatting sqref="F27:G27 F26">
    <cfRule type="expression" dxfId="13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A2" sqref="A2:A3"/>
      <selection pane="topRight" activeCell="A2" sqref="A2:A3"/>
      <selection pane="bottomLeft" activeCell="A2" sqref="A2:A3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2" t="str">
        <f>"BẢNG THANH TOÁN LƯƠNG THÁNG"&amp;" "&amp;TEXT($E$4,"mm")&amp;" / "&amp;TEXT($E$4,"yyyy")</f>
        <v>BẢNG THANH TOÁN LƯƠNG THÁNG 01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MAX(F10:F24)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-1'!$E$4</f>
        <v>42370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22" t="s">
        <v>40</v>
      </c>
      <c r="G7" s="220" t="s">
        <v>18</v>
      </c>
      <c r="H7" s="222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5200000</v>
      </c>
      <c r="F10" s="92">
        <f>VLOOKUP(B10,'CC -1'!$B$9:$AS$30,36,0)</f>
        <v>25</v>
      </c>
      <c r="G10" s="145">
        <f t="shared" ref="G10" si="3">ROUND(E10/$U$2*F10,0)</f>
        <v>5200000</v>
      </c>
      <c r="H10" s="92">
        <f>(VLOOKUP(B10,'CC -1'!$B$9:$AS$30,37,0)+VLOOKUP(B10,'CC -1'!$B$9:$AS$30,38,0))</f>
        <v>0</v>
      </c>
      <c r="I10" s="145">
        <f t="shared" ref="I10" si="4">ROUND(E10/$U$2*H10,0)</f>
        <v>0</v>
      </c>
      <c r="J10" s="93">
        <f t="shared" ref="J10:K10" si="5">F10+H10</f>
        <v>25</v>
      </c>
      <c r="K10" s="39">
        <f t="shared" si="5"/>
        <v>5200000</v>
      </c>
      <c r="L10" s="90">
        <f t="shared" ref="L10" si="6">+F10*15000</f>
        <v>375000</v>
      </c>
      <c r="M10" s="40">
        <f t="shared" ref="M10" si="7">K10+L10</f>
        <v>5575000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5575000</v>
      </c>
      <c r="R10" s="39">
        <f>VLOOKUP(B10,DS,23,0)</f>
        <v>0</v>
      </c>
      <c r="S10" s="45">
        <f t="shared" ref="S10" si="9">Q10-R10</f>
        <v>5575000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:C12" si="10">VLOOKUP(B11,DS,2,0)</f>
        <v>Trần Anh Nhựt</v>
      </c>
      <c r="D11" s="116" t="str">
        <f t="shared" ref="D11:D12" si="11">VLOOKUP(B11,DS,3,0)</f>
        <v>Thiết Kế</v>
      </c>
      <c r="E11" s="90">
        <f t="shared" ref="E11:E12" si="12">VLOOKUP(B11,DS,4,0)</f>
        <v>5200000</v>
      </c>
      <c r="F11" s="92">
        <f>VLOOKUP(B11,'CC -1'!$B$9:$AS$30,36,0)</f>
        <v>25</v>
      </c>
      <c r="G11" s="145">
        <f t="shared" ref="G11:G12" si="13">ROUND(E11/$U$2*F11,0)</f>
        <v>5200000</v>
      </c>
      <c r="H11" s="92">
        <f>(VLOOKUP(B11,'CC -1'!$B$9:$AS$30,37,0)+VLOOKUP(B11,'CC -1'!$B$9:$AS$30,38,0))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5200000</v>
      </c>
      <c r="L11" s="90">
        <f t="shared" ref="L11:L12" si="17">+F11*15000</f>
        <v>375000</v>
      </c>
      <c r="M11" s="40">
        <f t="shared" ref="M11:M12" si="18">K11+L11</f>
        <v>5575000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5575000</v>
      </c>
      <c r="R11" s="39">
        <f>VLOOKUP(B11,DS,23,0)</f>
        <v>0</v>
      </c>
      <c r="S11" s="45">
        <f t="shared" ref="S11:S12" si="20">Q11-R11</f>
        <v>5575000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10"/>
        <v>Huỳnh Minh Toàn</v>
      </c>
      <c r="D12" s="116" t="str">
        <f t="shared" si="11"/>
        <v>Thủ Kho</v>
      </c>
      <c r="E12" s="90">
        <f t="shared" si="12"/>
        <v>5700000</v>
      </c>
      <c r="F12" s="92">
        <f>VLOOKUP(B12,'CC -1'!$B$9:$AS$30,36,0)</f>
        <v>25</v>
      </c>
      <c r="G12" s="145">
        <f t="shared" si="13"/>
        <v>5700000</v>
      </c>
      <c r="H12" s="92">
        <f>(VLOOKUP(B12,'CC -1'!$B$9:$AS$30,37,0)+VLOOKUP(B12,'CC -1'!$B$9:$AS$30,38,0))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5700000</v>
      </c>
      <c r="L12" s="90">
        <f t="shared" si="17"/>
        <v>375000</v>
      </c>
      <c r="M12" s="40">
        <f t="shared" si="18"/>
        <v>6075000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6075000</v>
      </c>
      <c r="R12" s="39">
        <f>VLOOKUP(B12,DS,23,0)</f>
        <v>0</v>
      </c>
      <c r="S12" s="45">
        <f t="shared" si="20"/>
        <v>6075000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 t="shared" ref="E14" si="21">SUM(E9:E13)</f>
        <v>16100000</v>
      </c>
      <c r="F14" s="140"/>
      <c r="G14" s="140">
        <f t="shared" ref="G14" si="22">SUM(G9:G13)</f>
        <v>16100000</v>
      </c>
      <c r="H14" s="140"/>
      <c r="I14" s="140">
        <f t="shared" ref="I14" si="23">SUM(I9:I13)</f>
        <v>0</v>
      </c>
      <c r="J14" s="140"/>
      <c r="K14" s="140">
        <f t="shared" ref="K14:R14" si="24">SUM(K9:K13)</f>
        <v>16100000</v>
      </c>
      <c r="L14" s="140">
        <f t="shared" si="24"/>
        <v>1125000</v>
      </c>
      <c r="M14" s="140">
        <f t="shared" si="24"/>
        <v>17225000</v>
      </c>
      <c r="N14" s="140">
        <f t="shared" si="24"/>
        <v>0</v>
      </c>
      <c r="O14" s="140">
        <f t="shared" si="24"/>
        <v>0</v>
      </c>
      <c r="P14" s="140">
        <f t="shared" si="24"/>
        <v>0</v>
      </c>
      <c r="Q14" s="140">
        <f t="shared" si="24"/>
        <v>17225000</v>
      </c>
      <c r="R14" s="140">
        <f t="shared" si="24"/>
        <v>0</v>
      </c>
      <c r="S14" s="140">
        <f>SUM(S9:S13)</f>
        <v>17225000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8" si="25">VLOOKUP(B16,DS,2,0)</f>
        <v>Nguyễn Trường Giang</v>
      </c>
      <c r="D16" s="116" t="str">
        <f t="shared" ref="D16:D18" si="26">VLOOKUP(B16,DS,3,0)</f>
        <v>Thợ in</v>
      </c>
      <c r="E16" s="90">
        <f t="shared" ref="E16:E18" si="27">VLOOKUP(B16,DS,4,0)</f>
        <v>5200000</v>
      </c>
      <c r="F16" s="92">
        <f>VLOOKUP(B16,'CC -1'!$B$9:$AS$30,36,0)</f>
        <v>25</v>
      </c>
      <c r="G16" s="145">
        <f t="shared" ref="G16:G18" si="28">ROUND(E16/$U$2*F16,0)</f>
        <v>5200000</v>
      </c>
      <c r="H16" s="92">
        <f>(VLOOKUP(B16,'CC -1'!$B$9:$AS$30,37,0)+VLOOKUP(B16,'CC -1'!$B$9:$AS$30,38,0))</f>
        <v>0</v>
      </c>
      <c r="I16" s="145">
        <f t="shared" ref="I16:I18" si="29">ROUND(E16/$U$2*H16,0)</f>
        <v>0</v>
      </c>
      <c r="J16" s="146">
        <f t="shared" ref="J16:J18" si="30">F16+H16</f>
        <v>25</v>
      </c>
      <c r="K16" s="39">
        <f t="shared" ref="K16:K18" si="31">G16+I16</f>
        <v>5200000</v>
      </c>
      <c r="L16" s="90">
        <f t="shared" ref="L16:L18" si="32">+F16*15000</f>
        <v>375000</v>
      </c>
      <c r="M16" s="40">
        <f t="shared" ref="M16:M18" si="33">K16+L16</f>
        <v>5575000</v>
      </c>
      <c r="N16" s="40">
        <f>IF(VLOOKUP(B16,DS,9,0)="x",'L - 1'!E16*$N$4,0)</f>
        <v>0</v>
      </c>
      <c r="O16" s="40">
        <f t="shared" ref="O16:O18" si="34">IF(VLOOKUP(B16,DS,9,0)="x",E16*0.015,0)</f>
        <v>0</v>
      </c>
      <c r="P16" s="40">
        <f t="shared" ref="P16:P18" si="35">IF(VLOOKUP(B16,DS,9,0)="x",E16*0.01,0)</f>
        <v>0</v>
      </c>
      <c r="Q16" s="39">
        <f>M16-SUM(N16:P16)</f>
        <v>5575000</v>
      </c>
      <c r="R16" s="39">
        <f t="shared" ref="R16:R18" si="36">VLOOKUP(B16,DS,23,0)</f>
        <v>0</v>
      </c>
      <c r="S16" s="45">
        <f>Q16-R16</f>
        <v>5575000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si="25"/>
        <v>Võ Văn Kiệt</v>
      </c>
      <c r="D17" s="116" t="str">
        <f t="shared" si="26"/>
        <v>Công Đoạn 1</v>
      </c>
      <c r="E17" s="90">
        <f t="shared" si="27"/>
        <v>5200000</v>
      </c>
      <c r="F17" s="92">
        <f>VLOOKUP(B17,'CC -1'!$B$9:$AS$30,36,0)</f>
        <v>25</v>
      </c>
      <c r="G17" s="145">
        <f t="shared" si="28"/>
        <v>5200000</v>
      </c>
      <c r="H17" s="92">
        <f>(VLOOKUP(B17,'CC -1'!$B$9:$AS$30,37,0)+VLOOKUP(B17,'CC -1'!$B$9:$AS$30,38,0))</f>
        <v>0</v>
      </c>
      <c r="I17" s="145">
        <f t="shared" si="29"/>
        <v>0</v>
      </c>
      <c r="J17" s="146">
        <f t="shared" si="30"/>
        <v>25</v>
      </c>
      <c r="K17" s="39">
        <f t="shared" si="31"/>
        <v>5200000</v>
      </c>
      <c r="L17" s="90">
        <f t="shared" si="32"/>
        <v>375000</v>
      </c>
      <c r="M17" s="40">
        <f t="shared" si="33"/>
        <v>5575000</v>
      </c>
      <c r="N17" s="40">
        <f>IF(VLOOKUP(B17,DS,9,0)="x",'L - 1'!E17*$N$4,0)</f>
        <v>0</v>
      </c>
      <c r="O17" s="40">
        <f t="shared" si="34"/>
        <v>0</v>
      </c>
      <c r="P17" s="40">
        <f t="shared" si="35"/>
        <v>0</v>
      </c>
      <c r="Q17" s="39">
        <f t="shared" ref="Q17:Q18" si="37">M17-SUM(N17:P17)</f>
        <v>5575000</v>
      </c>
      <c r="R17" s="39">
        <f t="shared" si="36"/>
        <v>0</v>
      </c>
      <c r="S17" s="45">
        <f t="shared" ref="S17:S18" si="38">Q17-R17</f>
        <v>5575000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25"/>
        <v>Diệp Văn Lân</v>
      </c>
      <c r="D18" s="116" t="str">
        <f t="shared" si="26"/>
        <v>Công Đoạn 1</v>
      </c>
      <c r="E18" s="90">
        <f t="shared" si="27"/>
        <v>4500000</v>
      </c>
      <c r="F18" s="92">
        <f>VLOOKUP(B18,'CC -1'!$B$9:$AS$30,36,0)</f>
        <v>25</v>
      </c>
      <c r="G18" s="145">
        <f t="shared" si="28"/>
        <v>4500000</v>
      </c>
      <c r="H18" s="92">
        <f>(VLOOKUP(B18,'CC -1'!$B$9:$AS$30,37,0)+VLOOKUP(B18,'CC -1'!$B$9:$AS$30,38,0))</f>
        <v>0</v>
      </c>
      <c r="I18" s="145">
        <f t="shared" si="29"/>
        <v>0</v>
      </c>
      <c r="J18" s="146">
        <f t="shared" si="30"/>
        <v>25</v>
      </c>
      <c r="K18" s="39">
        <f t="shared" si="31"/>
        <v>4500000</v>
      </c>
      <c r="L18" s="90">
        <f t="shared" si="32"/>
        <v>375000</v>
      </c>
      <c r="M18" s="40">
        <f t="shared" si="33"/>
        <v>4875000</v>
      </c>
      <c r="N18" s="40">
        <f>IF(VLOOKUP(B18,DS,9,0)="x",'L - 1'!E18*$N$4,0)</f>
        <v>0</v>
      </c>
      <c r="O18" s="40">
        <f t="shared" si="34"/>
        <v>0</v>
      </c>
      <c r="P18" s="40">
        <f t="shared" si="35"/>
        <v>0</v>
      </c>
      <c r="Q18" s="39">
        <f t="shared" si="37"/>
        <v>4875000</v>
      </c>
      <c r="R18" s="39">
        <f t="shared" si="36"/>
        <v>0</v>
      </c>
      <c r="S18" s="45">
        <f t="shared" si="38"/>
        <v>4875000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ref="C19:C22" si="39">VLOOKUP(B19,DS,2,0)</f>
        <v>Dương Thế Kiệt</v>
      </c>
      <c r="D19" s="116" t="str">
        <f t="shared" ref="D19:D22" si="40">VLOOKUP(B19,DS,3,0)</f>
        <v>Công Đoạn 1</v>
      </c>
      <c r="E19" s="90">
        <f t="shared" ref="E19:E22" si="41">VLOOKUP(B19,DS,4,0)</f>
        <v>4500000</v>
      </c>
      <c r="F19" s="92">
        <f>VLOOKUP(B19,'CC -1'!$B$9:$AS$30,36,0)</f>
        <v>25</v>
      </c>
      <c r="G19" s="145">
        <f t="shared" ref="G19:G22" si="42">ROUND(E19/$U$2*F19,0)</f>
        <v>4500000</v>
      </c>
      <c r="H19" s="92">
        <f>(VLOOKUP(B19,'CC -1'!$B$9:$AS$30,37,0)+VLOOKUP(B19,'CC -1'!$B$9:$AS$30,38,0))</f>
        <v>0</v>
      </c>
      <c r="I19" s="145">
        <f t="shared" ref="I19:I22" si="43">ROUND(E19/$U$2*H19,0)</f>
        <v>0</v>
      </c>
      <c r="J19" s="146">
        <f t="shared" ref="J19:K22" si="44">F19+H19</f>
        <v>25</v>
      </c>
      <c r="K19" s="39">
        <f t="shared" si="44"/>
        <v>4500000</v>
      </c>
      <c r="L19" s="90">
        <f t="shared" ref="L19:L22" si="45">+F19*15000</f>
        <v>375000</v>
      </c>
      <c r="M19" s="40">
        <f t="shared" ref="M19:M22" si="46">K19+L19</f>
        <v>4875000</v>
      </c>
      <c r="N19" s="40">
        <f>IF(VLOOKUP(B19,DS,9,0)="x",'L - 1'!E19*$N$4,0)</f>
        <v>0</v>
      </c>
      <c r="O19" s="40">
        <f t="shared" ref="O19:O22" si="47">IF(VLOOKUP(B19,DS,9,0)="x",E19*0.015,0)</f>
        <v>0</v>
      </c>
      <c r="P19" s="40">
        <f t="shared" ref="P19:P22" si="48">IF(VLOOKUP(B19,DS,9,0)="x",E19*0.01,0)</f>
        <v>0</v>
      </c>
      <c r="Q19" s="39">
        <f>M19-SUM(N19:P19)</f>
        <v>4875000</v>
      </c>
      <c r="R19" s="39">
        <f t="shared" ref="R19:R22" si="49">VLOOKUP(B19,DS,23,0)</f>
        <v>0</v>
      </c>
      <c r="S19" s="45">
        <f>Q19-R19</f>
        <v>4875000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39"/>
        <v>Lê Văn Hữu</v>
      </c>
      <c r="D20" s="116" t="str">
        <f t="shared" si="40"/>
        <v>Công Đoạn 2</v>
      </c>
      <c r="E20" s="90">
        <f t="shared" si="41"/>
        <v>5200000</v>
      </c>
      <c r="F20" s="92">
        <f>VLOOKUP(B20,'CC -1'!$B$9:$AS$30,36,0)</f>
        <v>25</v>
      </c>
      <c r="G20" s="145">
        <f t="shared" si="42"/>
        <v>5200000</v>
      </c>
      <c r="H20" s="92">
        <f>(VLOOKUP(B20,'CC -1'!$B$9:$AS$30,37,0)+VLOOKUP(B20,'CC -1'!$B$9:$AS$30,38,0))</f>
        <v>0</v>
      </c>
      <c r="I20" s="145">
        <f t="shared" si="43"/>
        <v>0</v>
      </c>
      <c r="J20" s="146">
        <f t="shared" si="44"/>
        <v>25</v>
      </c>
      <c r="K20" s="39">
        <f t="shared" si="44"/>
        <v>5200000</v>
      </c>
      <c r="L20" s="90">
        <f t="shared" si="45"/>
        <v>375000</v>
      </c>
      <c r="M20" s="40">
        <f t="shared" si="46"/>
        <v>5575000</v>
      </c>
      <c r="N20" s="40">
        <f>IF(VLOOKUP(B20,DS,9,0)="x",'L - 1'!E20*$N$4,0)</f>
        <v>0</v>
      </c>
      <c r="O20" s="40">
        <f t="shared" si="47"/>
        <v>0</v>
      </c>
      <c r="P20" s="40">
        <f t="shared" si="48"/>
        <v>0</v>
      </c>
      <c r="Q20" s="39">
        <f t="shared" ref="Q20:Q22" si="50">M20-SUM(N20:P20)</f>
        <v>5575000</v>
      </c>
      <c r="R20" s="39">
        <f t="shared" si="49"/>
        <v>0</v>
      </c>
      <c r="S20" s="45">
        <f t="shared" ref="S20:S22" si="51">Q20-R20</f>
        <v>5575000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" si="52">VLOOKUP(B21,DS,2,0)</f>
        <v>Bùi Trường Giang</v>
      </c>
      <c r="D21" s="116" t="str">
        <f t="shared" ref="D21" si="53">VLOOKUP(B21,DS,3,0)</f>
        <v>Công Đoạn 2</v>
      </c>
      <c r="E21" s="90">
        <f t="shared" ref="E21" si="54">VLOOKUP(B21,DS,4,0)</f>
        <v>4500000</v>
      </c>
      <c r="F21" s="92">
        <f>VLOOKUP(B21,'CC -1'!$B$9:$AS$30,36,0)</f>
        <v>25</v>
      </c>
      <c r="G21" s="145">
        <f t="shared" ref="G21" si="55">ROUND(E21/$U$2*F21,0)</f>
        <v>4500000</v>
      </c>
      <c r="H21" s="92">
        <f>(VLOOKUP(B21,'CC -1'!$B$9:$AS$30,37,0)+VLOOKUP(B21,'CC -1'!$B$9:$AS$30,38,0))</f>
        <v>0</v>
      </c>
      <c r="I21" s="145">
        <f t="shared" ref="I21" si="56">ROUND(E21/$U$2*H21,0)</f>
        <v>0</v>
      </c>
      <c r="J21" s="146">
        <f t="shared" ref="J21" si="57">F21+H21</f>
        <v>25</v>
      </c>
      <c r="K21" s="39">
        <f t="shared" ref="K21" si="58">G21+I21</f>
        <v>4500000</v>
      </c>
      <c r="L21" s="90">
        <f t="shared" ref="L21" si="59">+F21*15000</f>
        <v>375000</v>
      </c>
      <c r="M21" s="40">
        <f t="shared" ref="M21" si="60">K21+L21</f>
        <v>4875000</v>
      </c>
      <c r="N21" s="40">
        <f>IF(VLOOKUP(B21,DS,9,0)="x",'L - 1'!E21*$N$4,0)</f>
        <v>0</v>
      </c>
      <c r="O21" s="40">
        <f t="shared" ref="O21" si="61">IF(VLOOKUP(B21,DS,9,0)="x",E21*0.015,0)</f>
        <v>0</v>
      </c>
      <c r="P21" s="40">
        <f t="shared" ref="P21" si="62">IF(VLOOKUP(B21,DS,9,0)="x",E21*0.01,0)</f>
        <v>0</v>
      </c>
      <c r="Q21" s="39">
        <f t="shared" ref="Q21" si="63">M21-SUM(N21:P21)</f>
        <v>4875000</v>
      </c>
      <c r="R21" s="39">
        <f t="shared" ref="R21" si="64">VLOOKUP(B21,DS,23,0)</f>
        <v>0</v>
      </c>
      <c r="S21" s="45">
        <f t="shared" ref="S21" si="65">Q21-R21</f>
        <v>4875000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39"/>
        <v>Nguyễn T Bích Thủy</v>
      </c>
      <c r="D22" s="116" t="str">
        <f t="shared" si="40"/>
        <v>Công Đoạn 2</v>
      </c>
      <c r="E22" s="90">
        <f t="shared" si="41"/>
        <v>4500000</v>
      </c>
      <c r="F22" s="92">
        <f>VLOOKUP(B22,'CC -1'!$B$9:$AS$30,36,0)</f>
        <v>25</v>
      </c>
      <c r="G22" s="145">
        <f t="shared" si="42"/>
        <v>4500000</v>
      </c>
      <c r="H22" s="92">
        <f>(VLOOKUP(B22,'CC -1'!$B$9:$AS$30,37,0)+VLOOKUP(B22,'CC -1'!$B$9:$AS$30,38,0))</f>
        <v>0</v>
      </c>
      <c r="I22" s="145">
        <f t="shared" si="43"/>
        <v>0</v>
      </c>
      <c r="J22" s="146">
        <f t="shared" si="44"/>
        <v>25</v>
      </c>
      <c r="K22" s="39">
        <f t="shared" si="44"/>
        <v>4500000</v>
      </c>
      <c r="L22" s="90">
        <f t="shared" si="45"/>
        <v>375000</v>
      </c>
      <c r="M22" s="40">
        <f t="shared" si="46"/>
        <v>4875000</v>
      </c>
      <c r="N22" s="40">
        <f>IF(VLOOKUP(B22,DS,9,0)="x",'L - 1'!E22*$N$4,0)</f>
        <v>0</v>
      </c>
      <c r="O22" s="40">
        <f t="shared" si="47"/>
        <v>0</v>
      </c>
      <c r="P22" s="40">
        <f t="shared" si="48"/>
        <v>0</v>
      </c>
      <c r="Q22" s="39">
        <f t="shared" si="50"/>
        <v>4875000</v>
      </c>
      <c r="R22" s="39">
        <f t="shared" si="49"/>
        <v>0</v>
      </c>
      <c r="S22" s="45">
        <f t="shared" si="51"/>
        <v>4875000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6">SUM(K15:K23)</f>
        <v>33600000</v>
      </c>
      <c r="L24" s="140">
        <f t="shared" si="66"/>
        <v>2625000</v>
      </c>
      <c r="M24" s="140">
        <f t="shared" si="66"/>
        <v>36225000</v>
      </c>
      <c r="N24" s="140">
        <f t="shared" si="66"/>
        <v>0</v>
      </c>
      <c r="O24" s="140">
        <f t="shared" si="66"/>
        <v>0</v>
      </c>
      <c r="P24" s="140">
        <f t="shared" si="66"/>
        <v>0</v>
      </c>
      <c r="Q24" s="140">
        <f t="shared" si="66"/>
        <v>36225000</v>
      </c>
      <c r="R24" s="140">
        <f t="shared" si="66"/>
        <v>0</v>
      </c>
      <c r="S24" s="140">
        <f t="shared" si="66"/>
        <v>36225000</v>
      </c>
      <c r="T24" s="26"/>
      <c r="U24" s="225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01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N5:P6 L5 L27 J6:K7 L7 A30:T63 U36:U63 N23:S23 V30:IK63 W10:W13 J23:L23 A64:IK65331 AF15:IK15 V14:IK14 D24:T24 AF5:IK13 Q10:S13 A10:B14 D14:T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22 AF16:IK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</protectedRanges>
  <autoFilter ref="A7:AE9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X10" sqref="X10"/>
      <selection pane="topRight" activeCell="X10" sqref="X10"/>
      <selection pane="bottomLeft" activeCell="X10" sqref="X10"/>
      <selection pane="bottomRight" activeCell="A24" sqref="A24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4" width="3.42578125" style="124" customWidth="1"/>
    <col min="35" max="36" width="4.42578125" style="2" customWidth="1"/>
    <col min="37" max="37" width="5.5703125" style="100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55"/>
      <c r="AJ1" s="55"/>
      <c r="AK1" s="260" t="s">
        <v>171</v>
      </c>
      <c r="AL1" s="261"/>
      <c r="AM1" s="261"/>
      <c r="AN1" s="261"/>
      <c r="AO1" s="261"/>
      <c r="AP1" s="261"/>
      <c r="AQ1" s="262"/>
      <c r="AR1" s="57"/>
    </row>
    <row r="2" spans="1:89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55"/>
      <c r="AJ2" s="55"/>
      <c r="AK2" s="96"/>
      <c r="AL2" s="59"/>
      <c r="AM2" s="59"/>
      <c r="AN2" s="59"/>
      <c r="AO2" s="59"/>
      <c r="AP2" s="59"/>
      <c r="AQ2" s="95"/>
      <c r="AR2" s="95"/>
    </row>
    <row r="3" spans="1:89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55"/>
      <c r="AJ3" s="55"/>
      <c r="AK3" s="96"/>
      <c r="AL3" s="57"/>
      <c r="AM3" s="57"/>
      <c r="AN3" s="57"/>
      <c r="AO3" s="57"/>
      <c r="AP3" s="57"/>
      <c r="AQ3" s="62"/>
      <c r="AR3" s="62"/>
    </row>
    <row r="4" spans="1:89" ht="14.25" customHeight="1">
      <c r="A4" s="63"/>
      <c r="B4" s="63"/>
      <c r="C4" s="156"/>
      <c r="D4" s="155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3"/>
      <c r="AJ4" s="63"/>
      <c r="AK4" s="97"/>
      <c r="AL4" s="63"/>
      <c r="AM4" s="63"/>
      <c r="AN4" s="63"/>
      <c r="AO4" s="63"/>
      <c r="AP4" s="63"/>
      <c r="AQ4" s="63"/>
      <c r="AR4" s="101"/>
    </row>
    <row r="5" spans="1:89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266" t="s">
        <v>15</v>
      </c>
      <c r="AJ5" s="267"/>
      <c r="AK5" s="268"/>
      <c r="AL5" s="269" t="s">
        <v>45</v>
      </c>
      <c r="AM5" s="269" t="s">
        <v>41</v>
      </c>
      <c r="AN5" s="269" t="s">
        <v>42</v>
      </c>
      <c r="AO5" s="269" t="s">
        <v>43</v>
      </c>
      <c r="AP5" s="269" t="s">
        <v>44</v>
      </c>
      <c r="AQ5" s="265" t="s">
        <v>0</v>
      </c>
      <c r="AR5" s="271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T.Hai</v>
      </c>
      <c r="G6" s="174" t="str">
        <f t="shared" ref="G6:AH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5" t="s">
        <v>16</v>
      </c>
      <c r="AJ6" s="175" t="s">
        <v>31</v>
      </c>
      <c r="AK6" s="176" t="s">
        <v>17</v>
      </c>
      <c r="AL6" s="270"/>
      <c r="AM6" s="270"/>
      <c r="AN6" s="270"/>
      <c r="AO6" s="270"/>
      <c r="AP6" s="270"/>
      <c r="AQ6" s="264"/>
      <c r="AR6" s="271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221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80" customFormat="1" ht="21" customHeight="1">
      <c r="A8" s="178" t="s">
        <v>154</v>
      </c>
      <c r="B8" s="181" t="s">
        <v>170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3"/>
      <c r="AR8" s="179"/>
    </row>
    <row r="9" spans="1:89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/>
      <c r="N9" s="143"/>
      <c r="O9" s="143"/>
      <c r="P9" s="143"/>
      <c r="Q9" s="143"/>
      <c r="R9" s="143"/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244">
        <f>((SUM(F9:AH9))/8)-(SUMIF($F$6:$AH$6,"C.Nhật",F9:AH9)/8)</f>
        <v>19</v>
      </c>
      <c r="AJ9" s="244">
        <f>SUM(F10:AH10)/8*1.5</f>
        <v>0</v>
      </c>
      <c r="AK9" s="246">
        <f>SUMIF($F$6:$AH$6,"C.Nhật",$F9:$AH10)/8*2</f>
        <v>0</v>
      </c>
      <c r="AL9" s="248">
        <f>SUM(AI9:AK10)</f>
        <v>19</v>
      </c>
      <c r="AM9" s="250">
        <v>0</v>
      </c>
      <c r="AN9" s="248"/>
      <c r="AO9" s="248"/>
      <c r="AP9" s="248"/>
      <c r="AQ9" s="258"/>
      <c r="AR9" s="22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245"/>
      <c r="AJ10" s="245"/>
      <c r="AK10" s="247"/>
      <c r="AL10" s="249"/>
      <c r="AM10" s="251"/>
      <c r="AN10" s="249"/>
      <c r="AO10" s="249"/>
      <c r="AP10" s="249"/>
      <c r="AQ10" s="259"/>
      <c r="AR10" s="22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/>
      <c r="N11" s="143"/>
      <c r="O11" s="143"/>
      <c r="P11" s="143"/>
      <c r="Q11" s="143"/>
      <c r="R11" s="143"/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244">
        <f>((SUM(F11:AH11))/8)-(SUMIF($F$6:$AH$6,"C.Nhật",F11:AH11)/8)</f>
        <v>19</v>
      </c>
      <c r="AJ11" s="244">
        <f>SUM(F12:AH12)/8*1.5</f>
        <v>0</v>
      </c>
      <c r="AK11" s="246">
        <f>SUMIF($F$6:$AH$6,"C.Nhật",$F11:$AH12)/8*2</f>
        <v>0</v>
      </c>
      <c r="AL11" s="248">
        <f t="shared" ref="AL11" si="2">SUM(AI11:AK12)</f>
        <v>19</v>
      </c>
      <c r="AM11" s="250">
        <v>0</v>
      </c>
      <c r="AN11" s="248"/>
      <c r="AO11" s="248"/>
      <c r="AP11" s="248"/>
      <c r="AQ11" s="258"/>
      <c r="AR11" s="229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245"/>
      <c r="AJ12" s="245"/>
      <c r="AK12" s="247"/>
      <c r="AL12" s="249"/>
      <c r="AM12" s="251"/>
      <c r="AN12" s="249"/>
      <c r="AO12" s="249"/>
      <c r="AP12" s="249"/>
      <c r="AQ12" s="259"/>
      <c r="AR12" s="22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/>
      <c r="N13" s="143"/>
      <c r="O13" s="143"/>
      <c r="P13" s="143"/>
      <c r="Q13" s="143"/>
      <c r="R13" s="143"/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244">
        <f>((SUM(F13:AH13))/8)-(SUMIF($F$6:$AH$6,"C.Nhật",F13:AH13)/8)</f>
        <v>19</v>
      </c>
      <c r="AJ13" s="244">
        <f>SUM(F14:AH14)/8*1.5</f>
        <v>0</v>
      </c>
      <c r="AK13" s="246">
        <f>SUMIF($F$6:$AH$6,"C.Nhật",$F13:$AH14)/8*2</f>
        <v>0</v>
      </c>
      <c r="AL13" s="248">
        <f t="shared" ref="AL13" si="3">SUM(AI13:AK14)</f>
        <v>19</v>
      </c>
      <c r="AM13" s="250">
        <v>0</v>
      </c>
      <c r="AN13" s="248"/>
      <c r="AO13" s="248"/>
      <c r="AP13" s="248"/>
      <c r="AQ13" s="258"/>
      <c r="AR13" s="221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245"/>
      <c r="AJ14" s="245"/>
      <c r="AK14" s="247"/>
      <c r="AL14" s="249"/>
      <c r="AM14" s="251"/>
      <c r="AN14" s="249"/>
      <c r="AO14" s="249"/>
      <c r="AP14" s="249"/>
      <c r="AQ14" s="259"/>
      <c r="AR14" s="221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3"/>
      <c r="AR15" s="179"/>
    </row>
    <row r="16" spans="1:89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/>
      <c r="N16" s="143"/>
      <c r="O16" s="143"/>
      <c r="P16" s="143"/>
      <c r="Q16" s="143"/>
      <c r="R16" s="143"/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244">
        <f>((SUM(F16:AH16))/8)-(SUMIF($F$6:$AH$6,"C.Nhật",F16:AH16)/8)</f>
        <v>19</v>
      </c>
      <c r="AJ16" s="244">
        <f>SUM(F17:AH17)/8*1.5</f>
        <v>0</v>
      </c>
      <c r="AK16" s="246">
        <f>SUMIF($F$6:$AH$6,"C.Nhật",$F16:$AH17)/8*2</f>
        <v>0</v>
      </c>
      <c r="AL16" s="248">
        <f>SUM(AI16:AK17)</f>
        <v>19</v>
      </c>
      <c r="AM16" s="250">
        <v>0</v>
      </c>
      <c r="AN16" s="248"/>
      <c r="AO16" s="248"/>
      <c r="AP16" s="248"/>
      <c r="AQ16" s="258"/>
      <c r="AR16" s="221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245"/>
      <c r="AJ17" s="245"/>
      <c r="AK17" s="247"/>
      <c r="AL17" s="249"/>
      <c r="AM17" s="251"/>
      <c r="AN17" s="249"/>
      <c r="AO17" s="249"/>
      <c r="AP17" s="249"/>
      <c r="AQ17" s="259"/>
      <c r="AR17" s="221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/>
      <c r="N18" s="143"/>
      <c r="O18" s="143"/>
      <c r="P18" s="143"/>
      <c r="Q18" s="143"/>
      <c r="R18" s="143"/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244">
        <f>((SUM(F18:AH18))/8)-(SUMIF($F$6:$AH$6,"C.Nhật",F18:AH18)/8)</f>
        <v>19</v>
      </c>
      <c r="AJ18" s="244">
        <f>SUM(F19:AH19)/8*1.5</f>
        <v>0</v>
      </c>
      <c r="AK18" s="246">
        <f>SUMIF($F$6:$AH$6,"C.Nhật",$F18:$AH19)/8*2</f>
        <v>0</v>
      </c>
      <c r="AL18" s="248">
        <f t="shared" ref="AL18" si="4">SUM(AI18:AK19)</f>
        <v>19</v>
      </c>
      <c r="AM18" s="250">
        <v>0</v>
      </c>
      <c r="AN18" s="248"/>
      <c r="AO18" s="248"/>
      <c r="AP18" s="248"/>
      <c r="AQ18" s="258"/>
      <c r="AR18" s="229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245"/>
      <c r="AJ19" s="245"/>
      <c r="AK19" s="247"/>
      <c r="AL19" s="249"/>
      <c r="AM19" s="251"/>
      <c r="AN19" s="249"/>
      <c r="AO19" s="249"/>
      <c r="AP19" s="249"/>
      <c r="AQ19" s="259"/>
      <c r="AR19" s="229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/>
      <c r="N20" s="143"/>
      <c r="O20" s="143"/>
      <c r="P20" s="143"/>
      <c r="Q20" s="143"/>
      <c r="R20" s="143"/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244">
        <f>((SUM(F20:AH20))/8)-(SUMIF($F$6:$AH$6,"C.Nhật",F20:AH20)/8)</f>
        <v>19</v>
      </c>
      <c r="AJ20" s="244">
        <f>SUM(F21:AH21)/8*1.5</f>
        <v>0</v>
      </c>
      <c r="AK20" s="246">
        <f>SUMIF($F$6:$AH$6,"C.Nhật",$F20:$AH21)/8*2</f>
        <v>0</v>
      </c>
      <c r="AL20" s="248">
        <f t="shared" ref="AL20" si="5">SUM(AI20:AK21)</f>
        <v>19</v>
      </c>
      <c r="AM20" s="250">
        <v>0</v>
      </c>
      <c r="AN20" s="248"/>
      <c r="AO20" s="248"/>
      <c r="AP20" s="248"/>
      <c r="AQ20" s="258"/>
      <c r="AR20" s="229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245"/>
      <c r="AJ21" s="245"/>
      <c r="AK21" s="247"/>
      <c r="AL21" s="249"/>
      <c r="AM21" s="251"/>
      <c r="AN21" s="249"/>
      <c r="AO21" s="249"/>
      <c r="AP21" s="249"/>
      <c r="AQ21" s="259"/>
      <c r="AR21" s="229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/>
      <c r="M22" s="143"/>
      <c r="N22" s="143"/>
      <c r="O22" s="143"/>
      <c r="P22" s="143"/>
      <c r="Q22" s="143"/>
      <c r="R22" s="143"/>
      <c r="S22" s="143"/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/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/>
      <c r="AH22" s="143">
        <v>8</v>
      </c>
      <c r="AI22" s="244">
        <f>((SUM(F22:AH22))/8)-(SUMIF($F$6:$AH$6,"C.Nhật",F22:AH22)/8)</f>
        <v>19</v>
      </c>
      <c r="AJ22" s="244">
        <f>SUM(F23:AH23)/8*1.5</f>
        <v>0</v>
      </c>
      <c r="AK22" s="246">
        <f>SUMIF($F$6:$AH$6,"C.Nhật",$F22:$AH23)/8*2</f>
        <v>0</v>
      </c>
      <c r="AL22" s="248">
        <f>SUM(AI22:AK23)</f>
        <v>19</v>
      </c>
      <c r="AM22" s="250">
        <v>0</v>
      </c>
      <c r="AN22" s="248"/>
      <c r="AO22" s="248"/>
      <c r="AP22" s="248"/>
      <c r="AQ22" s="258"/>
      <c r="AR22" s="229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245"/>
      <c r="AJ23" s="245"/>
      <c r="AK23" s="247"/>
      <c r="AL23" s="249"/>
      <c r="AM23" s="251"/>
      <c r="AN23" s="249"/>
      <c r="AO23" s="249"/>
      <c r="AP23" s="249"/>
      <c r="AQ23" s="259"/>
      <c r="AR23" s="229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/>
      <c r="M24" s="143"/>
      <c r="N24" s="143"/>
      <c r="O24" s="143"/>
      <c r="P24" s="143"/>
      <c r="Q24" s="143"/>
      <c r="R24" s="143"/>
      <c r="S24" s="143"/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/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/>
      <c r="AH24" s="143">
        <v>8</v>
      </c>
      <c r="AI24" s="244">
        <f>((SUM(F24:AH24))/8)-(SUMIF($F$6:$AH$6,"C.Nhật",F24:AH24)/8)</f>
        <v>19</v>
      </c>
      <c r="AJ24" s="244">
        <f>SUM(F25:AH25)/8*1.5</f>
        <v>0</v>
      </c>
      <c r="AK24" s="246">
        <f>SUMIF($F$6:$AH$6,"C.Nhật",$F24:$AH25)/8*2</f>
        <v>0</v>
      </c>
      <c r="AL24" s="248">
        <f t="shared" ref="AL24" si="6">SUM(AI24:AK25)</f>
        <v>19</v>
      </c>
      <c r="AM24" s="250">
        <v>0</v>
      </c>
      <c r="AN24" s="248"/>
      <c r="AO24" s="248"/>
      <c r="AP24" s="248"/>
      <c r="AQ24" s="258"/>
      <c r="AR24" s="221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245"/>
      <c r="AJ25" s="245"/>
      <c r="AK25" s="247"/>
      <c r="AL25" s="249"/>
      <c r="AM25" s="251"/>
      <c r="AN25" s="249"/>
      <c r="AO25" s="249"/>
      <c r="AP25" s="249"/>
      <c r="AQ25" s="259"/>
      <c r="AR25" s="221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/>
      <c r="M26" s="143"/>
      <c r="N26" s="143"/>
      <c r="O26" s="143"/>
      <c r="P26" s="143"/>
      <c r="Q26" s="143"/>
      <c r="R26" s="143"/>
      <c r="S26" s="143"/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/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/>
      <c r="AH26" s="143">
        <v>8</v>
      </c>
      <c r="AI26" s="244">
        <f>((SUM(F26:AH26))/8)-(SUMIF($F$6:$AH$6,"C.Nhật",F26:AH26)/8)</f>
        <v>19</v>
      </c>
      <c r="AJ26" s="244">
        <f>SUM(F27:AH27)/8*1.5</f>
        <v>0</v>
      </c>
      <c r="AK26" s="246">
        <f>SUMIF($F$6:$AH$6,"C.Nhật",$F26:$AH27)/8*2</f>
        <v>0</v>
      </c>
      <c r="AL26" s="248">
        <f>SUM(AI26:AK27)</f>
        <v>19</v>
      </c>
      <c r="AM26" s="250">
        <v>0</v>
      </c>
      <c r="AN26" s="248"/>
      <c r="AO26" s="248"/>
      <c r="AP26" s="248"/>
      <c r="AQ26" s="258"/>
      <c r="AR26" s="229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245"/>
      <c r="AJ27" s="245"/>
      <c r="AK27" s="247"/>
      <c r="AL27" s="249"/>
      <c r="AM27" s="251"/>
      <c r="AN27" s="249"/>
      <c r="AO27" s="249"/>
      <c r="AP27" s="249"/>
      <c r="AQ27" s="259"/>
      <c r="AR27" s="229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>
        <v>8</v>
      </c>
      <c r="H28" s="143">
        <v>8</v>
      </c>
      <c r="I28" s="143">
        <v>8</v>
      </c>
      <c r="J28" s="143">
        <v>8</v>
      </c>
      <c r="K28" s="143">
        <v>8</v>
      </c>
      <c r="L28" s="143"/>
      <c r="M28" s="143"/>
      <c r="N28" s="143"/>
      <c r="O28" s="143"/>
      <c r="P28" s="143"/>
      <c r="Q28" s="143"/>
      <c r="R28" s="143"/>
      <c r="S28" s="143"/>
      <c r="T28" s="143">
        <v>8</v>
      </c>
      <c r="U28" s="143">
        <v>8</v>
      </c>
      <c r="V28" s="143">
        <v>8</v>
      </c>
      <c r="W28" s="143">
        <v>8</v>
      </c>
      <c r="X28" s="143">
        <v>8</v>
      </c>
      <c r="Y28" s="143">
        <v>8</v>
      </c>
      <c r="Z28" s="143"/>
      <c r="AA28" s="143">
        <v>8</v>
      </c>
      <c r="AB28" s="143">
        <v>8</v>
      </c>
      <c r="AC28" s="143">
        <v>8</v>
      </c>
      <c r="AD28" s="143">
        <v>8</v>
      </c>
      <c r="AE28" s="143">
        <v>8</v>
      </c>
      <c r="AF28" s="143">
        <v>8</v>
      </c>
      <c r="AG28" s="143"/>
      <c r="AH28" s="143">
        <v>8</v>
      </c>
      <c r="AI28" s="244">
        <f>((SUM(F28:AH28))/8)-(SUMIF($F$6:$AH$6,"C.Nhật",F28:AH28)/8)</f>
        <v>19</v>
      </c>
      <c r="AJ28" s="244">
        <f>SUM(F29:AH29)/8*1.5</f>
        <v>0</v>
      </c>
      <c r="AK28" s="246">
        <f>SUMIF($F$6:$AH$6,"C.Nhật",$F28:$AH29)/8*2</f>
        <v>0</v>
      </c>
      <c r="AL28" s="248">
        <f>SUM(AI28:AK29)</f>
        <v>19</v>
      </c>
      <c r="AM28" s="250">
        <v>0</v>
      </c>
      <c r="AN28" s="248"/>
      <c r="AO28" s="248"/>
      <c r="AP28" s="248"/>
      <c r="AQ28" s="258"/>
      <c r="AR28" s="221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8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245"/>
      <c r="AJ29" s="245"/>
      <c r="AK29" s="247"/>
      <c r="AL29" s="249"/>
      <c r="AM29" s="251"/>
      <c r="AN29" s="249"/>
      <c r="AO29" s="249"/>
      <c r="AP29" s="249"/>
      <c r="AQ29" s="259"/>
      <c r="AR29" s="221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4"/>
      <c r="AJ30" s="4"/>
      <c r="AK30" s="98"/>
      <c r="AL30" s="74"/>
      <c r="AM30" s="74"/>
      <c r="AN30" s="74"/>
      <c r="AO30" s="74"/>
      <c r="AP30" s="74"/>
      <c r="AQ30" s="4"/>
      <c r="AR30" s="104"/>
    </row>
    <row r="31" spans="1:88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4"/>
      <c r="AJ31" s="4"/>
      <c r="AK31" s="98"/>
      <c r="AL31" s="74"/>
      <c r="AM31" s="74"/>
      <c r="AN31" s="74"/>
      <c r="AO31" s="74"/>
      <c r="AP31" s="74"/>
      <c r="AQ31" s="4"/>
      <c r="AR31" s="104"/>
    </row>
    <row r="32" spans="1:88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4"/>
      <c r="AJ32" s="4"/>
      <c r="AK32" s="98"/>
      <c r="AL32" s="76"/>
      <c r="AM32" s="76"/>
      <c r="AN32" s="76"/>
      <c r="AO32" s="76"/>
      <c r="AP32" s="76"/>
      <c r="AQ32" s="4"/>
      <c r="AR32" s="104"/>
    </row>
    <row r="33" spans="1:91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4"/>
      <c r="AJ33" s="4"/>
      <c r="AK33" s="98"/>
      <c r="AL33" s="76"/>
      <c r="AM33" s="76"/>
      <c r="AN33" s="76"/>
      <c r="AO33" s="76"/>
      <c r="AP33" s="76"/>
      <c r="AQ33" s="4"/>
      <c r="AR33" s="4"/>
    </row>
    <row r="34" spans="1:91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4"/>
      <c r="AJ34" s="4"/>
      <c r="AK34" s="98"/>
      <c r="AL34" s="76"/>
      <c r="AM34" s="76"/>
      <c r="AN34" s="76"/>
      <c r="AO34" s="76"/>
      <c r="AP34" s="76"/>
      <c r="AQ34" s="4"/>
      <c r="AR34" s="4"/>
    </row>
    <row r="35" spans="1:91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4"/>
      <c r="AJ35" s="4"/>
      <c r="AK35" s="98"/>
      <c r="AL35" s="76"/>
      <c r="AM35" s="76"/>
      <c r="AN35" s="76"/>
      <c r="AO35" s="76"/>
      <c r="AP35" s="76"/>
      <c r="AQ35" s="4"/>
      <c r="AR35" s="4"/>
    </row>
    <row r="36" spans="1:91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77"/>
      <c r="AK36" s="99"/>
      <c r="AL36" s="10"/>
      <c r="AM36" s="10"/>
      <c r="AN36" s="10"/>
      <c r="AO36" s="10"/>
      <c r="AP36" s="10"/>
      <c r="AQ36" s="14"/>
      <c r="AR36" s="4"/>
    </row>
    <row r="37" spans="1:91" s="73" customFormat="1" ht="12.75">
      <c r="A37" s="2"/>
      <c r="B37" s="2" t="s">
        <v>0</v>
      </c>
      <c r="C37" s="2"/>
      <c r="D37" s="219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2"/>
      <c r="AJ37" s="2"/>
      <c r="AK37" s="100"/>
      <c r="AL37" s="2"/>
      <c r="AM37" s="2"/>
      <c r="AN37" s="2"/>
      <c r="AO37" s="2"/>
      <c r="AP37" s="2"/>
      <c r="AQ37" s="2"/>
      <c r="AR37" s="4"/>
    </row>
    <row r="38" spans="1:91" s="73" customFormat="1" ht="12.75">
      <c r="A38" s="2"/>
      <c r="B38" s="2"/>
      <c r="C38" s="2" t="s">
        <v>46</v>
      </c>
      <c r="D38" s="219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2"/>
      <c r="AJ38" s="2"/>
      <c r="AK38" s="100"/>
      <c r="AL38" s="2"/>
      <c r="AM38" s="2"/>
      <c r="AN38" s="2"/>
      <c r="AO38" s="2"/>
      <c r="AP38" s="2"/>
      <c r="AQ38" s="2"/>
      <c r="AR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9" customFormat="1" ht="15" customHeight="1">
      <c r="A41" s="2"/>
      <c r="B41" s="2"/>
      <c r="C41" s="2" t="s">
        <v>49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2"/>
      <c r="AJ41" s="2"/>
      <c r="AK41" s="100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9" customFormat="1" ht="15" customHeight="1">
      <c r="A42" s="2"/>
      <c r="B42" s="2"/>
      <c r="C42" s="2" t="s">
        <v>50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2"/>
      <c r="AJ42" s="2"/>
      <c r="AK42" s="100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9" customFormat="1" ht="15" customHeight="1">
      <c r="A43" s="2"/>
      <c r="B43" s="2"/>
      <c r="C43" s="2" t="s">
        <v>51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2"/>
      <c r="AJ43" s="2"/>
      <c r="AK43" s="100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9" customFormat="1" ht="15" customHeight="1">
      <c r="A44" s="2"/>
      <c r="B44" s="2"/>
      <c r="C44" s="2" t="s">
        <v>52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2"/>
      <c r="AJ44" s="2"/>
      <c r="AK44" s="100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9" customFormat="1" ht="15" customHeight="1">
      <c r="A45" s="2"/>
      <c r="B45" s="2"/>
      <c r="C45" s="2" t="s">
        <v>53</v>
      </c>
      <c r="E45" s="2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4"/>
      <c r="AI45" s="2"/>
      <c r="AJ45" s="2"/>
      <c r="AK45" s="100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9" customFormat="1" ht="15" customHeight="1">
      <c r="A46" s="2"/>
      <c r="B46" s="2"/>
      <c r="C46" s="2" t="s">
        <v>54</v>
      </c>
      <c r="E46" s="2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4"/>
      <c r="AI46" s="2"/>
      <c r="AJ46" s="2"/>
      <c r="AK46" s="100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Q20:AQ21"/>
    <mergeCell ref="A22:A23"/>
    <mergeCell ref="A28:A29"/>
    <mergeCell ref="B28:B29"/>
    <mergeCell ref="C28:C29"/>
    <mergeCell ref="D28:D29"/>
    <mergeCell ref="AI28:AI29"/>
    <mergeCell ref="AJ28:AJ29"/>
    <mergeCell ref="AQ28:AQ29"/>
    <mergeCell ref="AK28:AK29"/>
    <mergeCell ref="AL28:AL29"/>
    <mergeCell ref="AM28:AM29"/>
    <mergeCell ref="AN28:AN29"/>
    <mergeCell ref="AO28:AO29"/>
    <mergeCell ref="AP28:AP29"/>
    <mergeCell ref="A24:A25"/>
    <mergeCell ref="B24:B25"/>
    <mergeCell ref="C24:C25"/>
    <mergeCell ref="D24:D25"/>
    <mergeCell ref="AI24:AI25"/>
    <mergeCell ref="AJ24:AJ25"/>
    <mergeCell ref="AQ24:AQ25"/>
    <mergeCell ref="AK24:AK25"/>
    <mergeCell ref="AL24:AL25"/>
    <mergeCell ref="AM24:AM25"/>
    <mergeCell ref="AN24:AN25"/>
    <mergeCell ref="AO24:AO25"/>
    <mergeCell ref="AP24:AP25"/>
    <mergeCell ref="AN13:AN14"/>
    <mergeCell ref="AO13:AO14"/>
    <mergeCell ref="AP13:AP14"/>
    <mergeCell ref="AQ13:AQ14"/>
    <mergeCell ref="A16:A17"/>
    <mergeCell ref="B16:B17"/>
    <mergeCell ref="C16:C17"/>
    <mergeCell ref="D16:D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C13:C14"/>
    <mergeCell ref="D13:D14"/>
    <mergeCell ref="AI13:AI14"/>
    <mergeCell ref="AJ13:AJ14"/>
    <mergeCell ref="AK13:AK14"/>
    <mergeCell ref="AL13:AL14"/>
    <mergeCell ref="AM13:AM14"/>
    <mergeCell ref="AK9:AK10"/>
    <mergeCell ref="AL9:AL10"/>
    <mergeCell ref="AM9:AM10"/>
    <mergeCell ref="AJ11:AJ12"/>
    <mergeCell ref="AK11:AK12"/>
    <mergeCell ref="AL11:AL12"/>
    <mergeCell ref="AM11:AM12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J22:AJ23"/>
    <mergeCell ref="AN11:AN12"/>
    <mergeCell ref="AO11:AO12"/>
    <mergeCell ref="AP11:AP12"/>
    <mergeCell ref="AQ11:AQ12"/>
    <mergeCell ref="A20:A21"/>
    <mergeCell ref="B20:B21"/>
    <mergeCell ref="C20:C21"/>
    <mergeCell ref="D20:D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11:A12"/>
    <mergeCell ref="B11:B12"/>
    <mergeCell ref="C11:C12"/>
    <mergeCell ref="D11:D12"/>
    <mergeCell ref="AI11:AI12"/>
    <mergeCell ref="A13:A14"/>
    <mergeCell ref="B13:B14"/>
    <mergeCell ref="AP22:AP23"/>
    <mergeCell ref="AQ22:AQ23"/>
    <mergeCell ref="A18:A19"/>
    <mergeCell ref="B18:B19"/>
    <mergeCell ref="C18:C19"/>
    <mergeCell ref="D18:D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K22:AK23"/>
    <mergeCell ref="AL22:AL23"/>
    <mergeCell ref="AM22:AM23"/>
    <mergeCell ref="AN22:AN23"/>
    <mergeCell ref="AO22:AO23"/>
    <mergeCell ref="B22:B23"/>
    <mergeCell ref="C22:C23"/>
    <mergeCell ref="D22:D23"/>
    <mergeCell ref="AI22:AI23"/>
    <mergeCell ref="AO26:AO27"/>
    <mergeCell ref="AP26:AP27"/>
    <mergeCell ref="AQ26:AQ27"/>
    <mergeCell ref="AJ26:AJ27"/>
    <mergeCell ref="AK26:AK27"/>
    <mergeCell ref="AL26:AL27"/>
    <mergeCell ref="AM26:AM27"/>
    <mergeCell ref="AN26:AN27"/>
    <mergeCell ref="A26:A27"/>
    <mergeCell ref="B26:B27"/>
    <mergeCell ref="C26:C27"/>
    <mergeCell ref="D26:D27"/>
    <mergeCell ref="AI26:AI27"/>
  </mergeCells>
  <conditionalFormatting sqref="F5:AH6 F9:AH14">
    <cfRule type="expression" dxfId="129" priority="20" stopIfTrue="1">
      <formula>IF(WEEKDAY(F$5)=1,TRUE,FALSE)</formula>
    </cfRule>
  </conditionalFormatting>
  <conditionalFormatting sqref="F16:AH21">
    <cfRule type="expression" dxfId="128" priority="3" stopIfTrue="1">
      <formula>IF(WEEKDAY(F$5)=1,TRUE,FALSE)</formula>
    </cfRule>
  </conditionalFormatting>
  <conditionalFormatting sqref="F22:AH25 F28:AH29">
    <cfRule type="expression" dxfId="127" priority="2" stopIfTrue="1">
      <formula>IF(WEEKDAY(F$5)=1,TRUE,FALSE)</formula>
    </cfRule>
  </conditionalFormatting>
  <conditionalFormatting sqref="F26:AH27">
    <cfRule type="expression" dxfId="1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X10" sqref="X10"/>
      <selection pane="topRight" activeCell="X10" sqref="X10"/>
      <selection pane="bottomLeft" activeCell="X10" sqref="X10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2" t="str">
        <f>"BẢNG THANH TOÁN LƯƠNG THÁNG"&amp;" "&amp;TEXT($E$4,"mm")&amp;" / "&amp;TEXT($E$4,"yyyy")</f>
        <v>BẢNG THANH TOÁN LƯƠNG THÁNG 02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MAX(F10:F24)</f>
        <v>19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-2'!$E$4</f>
        <v>42401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22" t="s">
        <v>40</v>
      </c>
      <c r="G7" s="220" t="s">
        <v>18</v>
      </c>
      <c r="H7" s="222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5200000</v>
      </c>
      <c r="F10" s="92">
        <f>VLOOKUP(B10,'CC -2'!$B$8:$AQ$29,34,0)</f>
        <v>19</v>
      </c>
      <c r="G10" s="145">
        <f t="shared" ref="G10" si="3">ROUND(E10/$U$2*F10,0)</f>
        <v>5200000</v>
      </c>
      <c r="H10" s="92">
        <f>(VLOOKUP(B10,'CC -2'!$B$8:$AQ$29,35,0)+VLOOKUP(B10,'CC -2'!$B$8:$AQ$29,36,0))</f>
        <v>0</v>
      </c>
      <c r="I10" s="145">
        <f t="shared" ref="I10" si="4">ROUND(E10/$U$2*H10,0)</f>
        <v>0</v>
      </c>
      <c r="J10" s="93">
        <f t="shared" ref="J10" si="5">F10+H10</f>
        <v>19</v>
      </c>
      <c r="K10" s="39">
        <f>G10+I10</f>
        <v>5200000</v>
      </c>
      <c r="L10" s="90">
        <f t="shared" ref="L10" si="6">+F10*15000</f>
        <v>285000</v>
      </c>
      <c r="M10" s="40">
        <f t="shared" ref="M10" si="7">K10+L10</f>
        <v>5485000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5485000</v>
      </c>
      <c r="R10" s="39">
        <f>VLOOKUP(B10,DS,23,0)</f>
        <v>0</v>
      </c>
      <c r="S10" s="45">
        <f t="shared" ref="S10" si="9">Q10-R10</f>
        <v>5485000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:C12" si="10">VLOOKUP(B11,DS,2,0)</f>
        <v>Trần Anh Nhựt</v>
      </c>
      <c r="D11" s="116" t="str">
        <f t="shared" ref="D11:D12" si="11">VLOOKUP(B11,DS,3,0)</f>
        <v>Thiết Kế</v>
      </c>
      <c r="E11" s="90">
        <f t="shared" ref="E11:E12" si="12">VLOOKUP(B11,DS,4,0)</f>
        <v>5200000</v>
      </c>
      <c r="F11" s="92">
        <f>VLOOKUP(B11,'CC -2'!$B$8:$AQ$29,34,0)</f>
        <v>19</v>
      </c>
      <c r="G11" s="145">
        <f t="shared" ref="G11:G12" si="13">ROUND(E11/$U$2*F11,0)</f>
        <v>5200000</v>
      </c>
      <c r="H11" s="92">
        <f>(VLOOKUP(B11,'CC -2'!$B$8:$AQ$29,35,0)+VLOOKUP(B11,'CC -2'!$B$8:$AQ$29,36,0))</f>
        <v>0</v>
      </c>
      <c r="I11" s="145">
        <f t="shared" ref="I11:I12" si="14">ROUND(E11/$U$2*H11,0)</f>
        <v>0</v>
      </c>
      <c r="J11" s="93">
        <f t="shared" ref="J11:J12" si="15">F11+H11</f>
        <v>19</v>
      </c>
      <c r="K11" s="39">
        <f t="shared" ref="K11:K12" si="16">G11+I11</f>
        <v>5200000</v>
      </c>
      <c r="L11" s="90">
        <f t="shared" ref="L11:L12" si="17">+F11*15000</f>
        <v>285000</v>
      </c>
      <c r="M11" s="40">
        <f t="shared" ref="M11:M12" si="18">K11+L11</f>
        <v>5485000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5485000</v>
      </c>
      <c r="R11" s="39">
        <f>VLOOKUP(B11,DS,23,0)</f>
        <v>0</v>
      </c>
      <c r="S11" s="45">
        <f t="shared" ref="S11:S12" si="20">Q11-R11</f>
        <v>5485000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10"/>
        <v>Huỳnh Minh Toàn</v>
      </c>
      <c r="D12" s="116" t="str">
        <f t="shared" si="11"/>
        <v>Thủ Kho</v>
      </c>
      <c r="E12" s="90">
        <f t="shared" si="12"/>
        <v>5700000</v>
      </c>
      <c r="F12" s="92">
        <f>VLOOKUP(B12,'CC -2'!$B$8:$AQ$29,34,0)</f>
        <v>19</v>
      </c>
      <c r="G12" s="145">
        <f t="shared" si="13"/>
        <v>5700000</v>
      </c>
      <c r="H12" s="92">
        <f>(VLOOKUP(B12,'CC -2'!$B$8:$AQ$29,35,0)+VLOOKUP(B12,'CC -2'!$B$8:$AQ$29,36,0))</f>
        <v>0</v>
      </c>
      <c r="I12" s="145">
        <f t="shared" si="14"/>
        <v>0</v>
      </c>
      <c r="J12" s="93">
        <f t="shared" si="15"/>
        <v>19</v>
      </c>
      <c r="K12" s="39">
        <f t="shared" si="16"/>
        <v>5700000</v>
      </c>
      <c r="L12" s="90">
        <f t="shared" si="17"/>
        <v>285000</v>
      </c>
      <c r="M12" s="40">
        <f t="shared" si="18"/>
        <v>5985000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5985000</v>
      </c>
      <c r="R12" s="39">
        <f>VLOOKUP(B12,DS,23,0)</f>
        <v>0</v>
      </c>
      <c r="S12" s="45">
        <f t="shared" si="20"/>
        <v>5985000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1">SUM(K9:K12)</f>
        <v>16100000</v>
      </c>
      <c r="L14" s="140">
        <f t="shared" si="21"/>
        <v>855000</v>
      </c>
      <c r="M14" s="140">
        <f t="shared" si="21"/>
        <v>16955000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16955000</v>
      </c>
      <c r="R14" s="140">
        <f t="shared" si="21"/>
        <v>0</v>
      </c>
      <c r="S14" s="140">
        <f t="shared" si="21"/>
        <v>16955000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5200000</v>
      </c>
      <c r="F16" s="92">
        <f>VLOOKUP(B16,'CC -2'!$B$8:$AQ$29,34,0)</f>
        <v>19</v>
      </c>
      <c r="G16" s="145">
        <f t="shared" ref="G16" si="25">ROUND(E16/$U$2*F16,0)</f>
        <v>5200000</v>
      </c>
      <c r="H16" s="92">
        <f>(VLOOKUP(B16,'CC -2'!$B$8:$AQ$29,35,0)+VLOOKUP(B16,'CC -2'!$B$8:$AQ$29,36,0))</f>
        <v>0</v>
      </c>
      <c r="I16" s="145">
        <f t="shared" ref="I16" si="26">ROUND(E16/$U$2*H16,0)</f>
        <v>0</v>
      </c>
      <c r="J16" s="146">
        <f t="shared" ref="J16:K16" si="27">F16+H16</f>
        <v>19</v>
      </c>
      <c r="K16" s="39">
        <f t="shared" si="27"/>
        <v>5200000</v>
      </c>
      <c r="L16" s="90">
        <f t="shared" ref="L16" si="28">+F16*15000</f>
        <v>285000</v>
      </c>
      <c r="M16" s="40">
        <f t="shared" ref="M16" si="29">K16+L16</f>
        <v>5485000</v>
      </c>
      <c r="N16" s="40">
        <f>IF(VLOOKUP(B16,DS,9,0)="x",'L - 2'!E16*$N$4,0)</f>
        <v>0</v>
      </c>
      <c r="O16" s="40">
        <f t="shared" ref="O16" si="30">IF(VLOOKUP(B16,DS,9,0)="x",E16*0.015,0)</f>
        <v>0</v>
      </c>
      <c r="P16" s="40">
        <f t="shared" ref="P16" si="31">IF(VLOOKUP(B16,DS,9,0)="x",E16*0.01,0)</f>
        <v>0</v>
      </c>
      <c r="Q16" s="39">
        <f>M16-SUM(N16:P16)</f>
        <v>5485000</v>
      </c>
      <c r="R16" s="39">
        <f t="shared" ref="R16" si="32">VLOOKUP(B16,DS,23,0)</f>
        <v>0</v>
      </c>
      <c r="S16" s="45">
        <f>Q16-R16</f>
        <v>5485000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22" si="33">VLOOKUP(B17,DS,2,0)</f>
        <v>Võ Văn Kiệt</v>
      </c>
      <c r="D17" s="116" t="str">
        <f t="shared" ref="D17:D22" si="34">VLOOKUP(B17,DS,3,0)</f>
        <v>Công Đoạn 1</v>
      </c>
      <c r="E17" s="90">
        <f t="shared" ref="E17:E22" si="35">VLOOKUP(B17,DS,4,0)</f>
        <v>5200000</v>
      </c>
      <c r="F17" s="92">
        <f>VLOOKUP(B17,'CC -2'!$B$8:$AQ$29,34,0)</f>
        <v>19</v>
      </c>
      <c r="G17" s="145">
        <f t="shared" ref="G17:G22" si="36">ROUND(E17/$U$2*F17,0)</f>
        <v>5200000</v>
      </c>
      <c r="H17" s="92">
        <f>(VLOOKUP(B17,'CC -2'!$B$8:$AQ$29,35,0)+VLOOKUP(B17,'CC -2'!$B$8:$AQ$29,36,0))</f>
        <v>0</v>
      </c>
      <c r="I17" s="145">
        <f t="shared" ref="I17:I22" si="37">ROUND(E17/$U$2*H17,0)</f>
        <v>0</v>
      </c>
      <c r="J17" s="146">
        <f t="shared" ref="J17:J22" si="38">F17+H17</f>
        <v>19</v>
      </c>
      <c r="K17" s="39">
        <f t="shared" ref="K17:K22" si="39">G17+I17</f>
        <v>5200000</v>
      </c>
      <c r="L17" s="90">
        <f t="shared" ref="L17:L22" si="40">+F17*15000</f>
        <v>285000</v>
      </c>
      <c r="M17" s="40">
        <f t="shared" ref="M17:M22" si="41">K17+L17</f>
        <v>5485000</v>
      </c>
      <c r="N17" s="40">
        <f>IF(VLOOKUP(B17,DS,9,0)="x",'L - 2'!E17*$N$4,0)</f>
        <v>0</v>
      </c>
      <c r="O17" s="40">
        <f t="shared" ref="O17:O22" si="42">IF(VLOOKUP(B17,DS,9,0)="x",E17*0.015,0)</f>
        <v>0</v>
      </c>
      <c r="P17" s="40">
        <f t="shared" ref="P17:P22" si="43">IF(VLOOKUP(B17,DS,9,0)="x",E17*0.01,0)</f>
        <v>0</v>
      </c>
      <c r="Q17" s="39">
        <f t="shared" ref="Q17:Q22" si="44">M17-SUM(N17:P17)</f>
        <v>5485000</v>
      </c>
      <c r="R17" s="39">
        <f t="shared" ref="R17:R22" si="45">VLOOKUP(B17,DS,23,0)</f>
        <v>0</v>
      </c>
      <c r="S17" s="45">
        <f t="shared" ref="S17:S22" si="46">Q17-R17</f>
        <v>5485000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-2'!$B$8:$AQ$29,34,0)</f>
        <v>19</v>
      </c>
      <c r="G18" s="145">
        <f t="shared" si="36"/>
        <v>4500000</v>
      </c>
      <c r="H18" s="92">
        <f>(VLOOKUP(B18,'CC -2'!$B$8:$AQ$29,35,0)+VLOOKUP(B18,'CC -2'!$B$8:$AQ$29,36,0))</f>
        <v>0</v>
      </c>
      <c r="I18" s="145">
        <f t="shared" si="37"/>
        <v>0</v>
      </c>
      <c r="J18" s="146">
        <f t="shared" si="38"/>
        <v>19</v>
      </c>
      <c r="K18" s="39">
        <f t="shared" si="39"/>
        <v>4500000</v>
      </c>
      <c r="L18" s="90">
        <f t="shared" si="40"/>
        <v>285000</v>
      </c>
      <c r="M18" s="40">
        <f t="shared" si="41"/>
        <v>4785000</v>
      </c>
      <c r="N18" s="40">
        <f>IF(VLOOKUP(B18,DS,9,0)="x",'L - 2'!E18*$N$4,0)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4785000</v>
      </c>
      <c r="R18" s="39">
        <f t="shared" si="45"/>
        <v>0</v>
      </c>
      <c r="S18" s="45">
        <f t="shared" si="46"/>
        <v>4785000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33"/>
        <v>Dương Thế Kiệt</v>
      </c>
      <c r="D19" s="116" t="str">
        <f t="shared" si="34"/>
        <v>Công Đoạn 1</v>
      </c>
      <c r="E19" s="90">
        <f t="shared" si="35"/>
        <v>4500000</v>
      </c>
      <c r="F19" s="92">
        <f>VLOOKUP(B19,'CC -2'!$B$8:$AQ$29,34,0)</f>
        <v>19</v>
      </c>
      <c r="G19" s="145">
        <f t="shared" si="36"/>
        <v>4500000</v>
      </c>
      <c r="H19" s="92">
        <f>(VLOOKUP(B19,'CC -2'!$B$8:$AQ$29,35,0)+VLOOKUP(B19,'CC -2'!$B$8:$AQ$29,36,0))</f>
        <v>0</v>
      </c>
      <c r="I19" s="145">
        <f t="shared" si="37"/>
        <v>0</v>
      </c>
      <c r="J19" s="146">
        <f t="shared" si="38"/>
        <v>19</v>
      </c>
      <c r="K19" s="39">
        <f t="shared" si="39"/>
        <v>4500000</v>
      </c>
      <c r="L19" s="90">
        <f t="shared" si="40"/>
        <v>285000</v>
      </c>
      <c r="M19" s="40">
        <f t="shared" si="41"/>
        <v>4785000</v>
      </c>
      <c r="N19" s="40">
        <f>IF(VLOOKUP(B19,DS,9,0)="x",'L - 2'!E19*$N$4,0)</f>
        <v>0</v>
      </c>
      <c r="O19" s="40">
        <f t="shared" si="42"/>
        <v>0</v>
      </c>
      <c r="P19" s="40">
        <f t="shared" si="43"/>
        <v>0</v>
      </c>
      <c r="Q19" s="39">
        <f t="shared" si="44"/>
        <v>4785000</v>
      </c>
      <c r="R19" s="39">
        <f t="shared" si="45"/>
        <v>0</v>
      </c>
      <c r="S19" s="45">
        <f t="shared" si="46"/>
        <v>4785000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33"/>
        <v>Lê Văn Hữu</v>
      </c>
      <c r="D20" s="116" t="str">
        <f t="shared" si="34"/>
        <v>Công Đoạn 2</v>
      </c>
      <c r="E20" s="90">
        <f t="shared" si="35"/>
        <v>5200000</v>
      </c>
      <c r="F20" s="92">
        <f>VLOOKUP(B20,'CC -2'!$B$8:$AQ$29,34,0)</f>
        <v>19</v>
      </c>
      <c r="G20" s="145">
        <f t="shared" si="36"/>
        <v>5200000</v>
      </c>
      <c r="H20" s="92">
        <f>(VLOOKUP(B20,'CC -2'!$B$8:$AQ$29,35,0)+VLOOKUP(B20,'CC -2'!$B$8:$AQ$29,36,0))</f>
        <v>0</v>
      </c>
      <c r="I20" s="145">
        <f t="shared" si="37"/>
        <v>0</v>
      </c>
      <c r="J20" s="146">
        <f t="shared" si="38"/>
        <v>19</v>
      </c>
      <c r="K20" s="39">
        <f t="shared" si="39"/>
        <v>5200000</v>
      </c>
      <c r="L20" s="90">
        <f t="shared" si="40"/>
        <v>285000</v>
      </c>
      <c r="M20" s="40">
        <f t="shared" si="41"/>
        <v>5485000</v>
      </c>
      <c r="N20" s="40">
        <f>IF(VLOOKUP(B20,DS,9,0)="x",'L - 2'!E20*$N$4,0)</f>
        <v>0</v>
      </c>
      <c r="O20" s="40">
        <f t="shared" si="42"/>
        <v>0</v>
      </c>
      <c r="P20" s="40">
        <f t="shared" si="43"/>
        <v>0</v>
      </c>
      <c r="Q20" s="39">
        <f t="shared" si="44"/>
        <v>5485000</v>
      </c>
      <c r="R20" s="39">
        <f t="shared" si="45"/>
        <v>0</v>
      </c>
      <c r="S20" s="45">
        <f t="shared" si="46"/>
        <v>5485000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" si="47">VLOOKUP(B21,DS,2,0)</f>
        <v>Bùi Trường Giang</v>
      </c>
      <c r="D21" s="116" t="str">
        <f t="shared" ref="D21" si="48">VLOOKUP(B21,DS,3,0)</f>
        <v>Công Đoạn 2</v>
      </c>
      <c r="E21" s="90">
        <f t="shared" ref="E21" si="49">VLOOKUP(B21,DS,4,0)</f>
        <v>4500000</v>
      </c>
      <c r="F21" s="92">
        <f>VLOOKUP(B21,'CC -2'!$B$8:$AQ$29,34,0)</f>
        <v>19</v>
      </c>
      <c r="G21" s="145">
        <f t="shared" ref="G21" si="50">ROUND(E21/$U$2*F21,0)</f>
        <v>4500000</v>
      </c>
      <c r="H21" s="92">
        <f>(VLOOKUP(B21,'CC -2'!$B$8:$AQ$29,35,0)+VLOOKUP(B21,'CC -2'!$B$8:$AQ$29,36,0))</f>
        <v>0</v>
      </c>
      <c r="I21" s="145">
        <f t="shared" ref="I21" si="51">ROUND(E21/$U$2*H21,0)</f>
        <v>0</v>
      </c>
      <c r="J21" s="146">
        <f t="shared" ref="J21" si="52">F21+H21</f>
        <v>19</v>
      </c>
      <c r="K21" s="39">
        <f t="shared" ref="K21" si="53">G21+I21</f>
        <v>4500000</v>
      </c>
      <c r="L21" s="90">
        <f t="shared" ref="L21" si="54">+F21*15000</f>
        <v>285000</v>
      </c>
      <c r="M21" s="40">
        <f t="shared" ref="M21" si="55">K21+L21</f>
        <v>4785000</v>
      </c>
      <c r="N21" s="40">
        <f>IF(VLOOKUP(B21,DS,9,0)="x",'L - 2'!E21*$N$4,0)</f>
        <v>0</v>
      </c>
      <c r="O21" s="40">
        <f t="shared" ref="O21" si="56">IF(VLOOKUP(B21,DS,9,0)="x",E21*0.015,0)</f>
        <v>0</v>
      </c>
      <c r="P21" s="40">
        <f t="shared" ref="P21" si="57">IF(VLOOKUP(B21,DS,9,0)="x",E21*0.01,0)</f>
        <v>0</v>
      </c>
      <c r="Q21" s="39">
        <f t="shared" ref="Q21" si="58">M21-SUM(N21:P21)</f>
        <v>4785000</v>
      </c>
      <c r="R21" s="39">
        <f t="shared" ref="R21" si="59">VLOOKUP(B21,DS,23,0)</f>
        <v>0</v>
      </c>
      <c r="S21" s="45">
        <f t="shared" ref="S21" si="60">Q21-R21</f>
        <v>4785000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33"/>
        <v>Nguyễn T Bích Thủy</v>
      </c>
      <c r="D22" s="116" t="str">
        <f t="shared" si="34"/>
        <v>Công Đoạn 2</v>
      </c>
      <c r="E22" s="90">
        <f t="shared" si="35"/>
        <v>4500000</v>
      </c>
      <c r="F22" s="92">
        <f>VLOOKUP(B22,'CC -2'!$B$8:$AQ$29,34,0)</f>
        <v>19</v>
      </c>
      <c r="G22" s="145">
        <f t="shared" si="36"/>
        <v>4500000</v>
      </c>
      <c r="H22" s="92">
        <f>(VLOOKUP(B22,'CC -2'!$B$8:$AQ$29,35,0)+VLOOKUP(B22,'CC -2'!$B$8:$AQ$29,36,0))</f>
        <v>0</v>
      </c>
      <c r="I22" s="145">
        <f t="shared" si="37"/>
        <v>0</v>
      </c>
      <c r="J22" s="146">
        <f t="shared" si="38"/>
        <v>19</v>
      </c>
      <c r="K22" s="39">
        <f t="shared" si="39"/>
        <v>4500000</v>
      </c>
      <c r="L22" s="90">
        <f t="shared" si="40"/>
        <v>285000</v>
      </c>
      <c r="M22" s="40">
        <f t="shared" si="41"/>
        <v>4785000</v>
      </c>
      <c r="N22" s="40">
        <f>IF(VLOOKUP(B22,DS,9,0)="x",'L - 2'!E22*$N$4,0)</f>
        <v>0</v>
      </c>
      <c r="O22" s="40">
        <f t="shared" si="42"/>
        <v>0</v>
      </c>
      <c r="P22" s="40">
        <f t="shared" si="43"/>
        <v>0</v>
      </c>
      <c r="Q22" s="39">
        <f t="shared" si="44"/>
        <v>4785000</v>
      </c>
      <c r="R22" s="39">
        <f t="shared" si="45"/>
        <v>0</v>
      </c>
      <c r="S22" s="45">
        <f t="shared" si="46"/>
        <v>4785000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1">SUM(K15:K23)</f>
        <v>33600000</v>
      </c>
      <c r="L24" s="140">
        <f t="shared" si="61"/>
        <v>1995000</v>
      </c>
      <c r="M24" s="140">
        <f t="shared" si="61"/>
        <v>35595000</v>
      </c>
      <c r="N24" s="140">
        <f t="shared" si="61"/>
        <v>0</v>
      </c>
      <c r="O24" s="140">
        <f t="shared" si="61"/>
        <v>0</v>
      </c>
      <c r="P24" s="140">
        <f t="shared" si="61"/>
        <v>0</v>
      </c>
      <c r="Q24" s="140">
        <f t="shared" si="61"/>
        <v>35595000</v>
      </c>
      <c r="R24" s="140">
        <f t="shared" si="61"/>
        <v>0</v>
      </c>
      <c r="S24" s="140">
        <f t="shared" si="61"/>
        <v>35595000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02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N5:P6 L5 L27 J6:K7 L7 A30:T63 U36:U63 N23:S23 V30:IK63 J23:L23 A64:IK65331 AF15:IK15 V14:IK14 D14:T14 D24:T24 W10:W13 AF5:IK13 Q10:S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AF16:IK22 Q16:S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X10" sqref="X10"/>
      <selection pane="topRight" activeCell="X10" sqref="X10"/>
      <selection pane="bottomLeft" activeCell="X10" sqref="X10"/>
      <selection pane="bottomRight" activeCell="A24" sqref="A24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42430</v>
      </c>
      <c r="G5" s="118">
        <f t="shared" ref="G5:AJ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 t="shared" si="0"/>
        <v>42459</v>
      </c>
      <c r="AJ5" s="118">
        <f t="shared" si="0"/>
        <v>42460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44">
        <f>((SUM(F9:AJ9))/8)-(SUMIF($F$6:$AJ$6,"C.Nhật",F9:AJ9)/8)</f>
        <v>27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27</v>
      </c>
      <c r="AO9" s="250">
        <v>0</v>
      </c>
      <c r="AP9" s="248"/>
      <c r="AQ9" s="248"/>
      <c r="AR9" s="248"/>
      <c r="AS9" s="258"/>
      <c r="AT9" s="22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22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27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143">
        <v>8</v>
      </c>
      <c r="AK13" s="244">
        <f t="shared" ref="AK13" si="6">((SUM(F13:AJ13))/8)-(SUMIF($F$6:$AJ$6,"C.Nhật",F13:AJ13)/8)</f>
        <v>27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27</v>
      </c>
      <c r="AO13" s="250">
        <v>0</v>
      </c>
      <c r="AP13" s="248"/>
      <c r="AQ13" s="248"/>
      <c r="AR13" s="248"/>
      <c r="AS13" s="258"/>
      <c r="AT13" s="22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22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44">
        <f t="shared" ref="AK16" si="9">((SUM(F16:AJ16))/8)-(SUMIF($F$6:$AJ$6,"C.Nhật",F16:AJ16)/8)</f>
        <v>27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27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27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>
        <v>8</v>
      </c>
      <c r="AK20" s="244">
        <f t="shared" ref="AK20" si="14">((SUM(F20:AJ20))/8)-(SUMIF($F$6:$AJ$6,"C.Nhật",F20:AJ20)/8)</f>
        <v>27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27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/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/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/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/>
      <c r="AG22" s="143">
        <v>8</v>
      </c>
      <c r="AH22" s="143">
        <v>8</v>
      </c>
      <c r="AI22" s="143">
        <v>8</v>
      </c>
      <c r="AJ22" s="143">
        <v>8</v>
      </c>
      <c r="AK22" s="244">
        <f t="shared" ref="AK22" si="17">((SUM(F22:AJ22))/8)-(SUMIF($F$6:$AJ$6,"C.Nhật",F22:AJ22)/8)</f>
        <v>27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 t="shared" ref="AN22" si="19">SUM(AK22:AM23)</f>
        <v>27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/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/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/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/>
      <c r="AG24" s="143">
        <v>8</v>
      </c>
      <c r="AH24" s="143">
        <v>8</v>
      </c>
      <c r="AI24" s="143">
        <v>8</v>
      </c>
      <c r="AJ24" s="143">
        <v>8</v>
      </c>
      <c r="AK24" s="244">
        <f t="shared" ref="AK24" si="20">((SUM(F24:AJ24))/8)-(SUMIF($F$6:$AJ$6,"C.Nhật",F24:AJ24)/8)</f>
        <v>27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27</v>
      </c>
      <c r="AO24" s="250">
        <v>0</v>
      </c>
      <c r="AP24" s="248"/>
      <c r="AQ24" s="248"/>
      <c r="AR24" s="248"/>
      <c r="AS24" s="258"/>
      <c r="AT24" s="22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>
        <v>8</v>
      </c>
      <c r="K26" s="143"/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>
        <v>8</v>
      </c>
      <c r="R26" s="143"/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/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/>
      <c r="AG26" s="143">
        <v>8</v>
      </c>
      <c r="AH26" s="143">
        <v>8</v>
      </c>
      <c r="AI26" s="143">
        <v>8</v>
      </c>
      <c r="AJ26" s="143">
        <v>8</v>
      </c>
      <c r="AK26" s="244">
        <f t="shared" ref="AK26" si="23">((SUM(F26:AJ26))/8)-(SUMIF($F$6:$AJ$6,"C.Nhật",F26:AJ26)/8)</f>
        <v>27</v>
      </c>
      <c r="AL26" s="244">
        <f t="shared" ref="AL26" si="24">SUM(F27:AJ27)/8*1.5</f>
        <v>0</v>
      </c>
      <c r="AM26" s="246">
        <f>SUMIF($F$6:$AJ$6,"C.Nhật",$F26:$AJ27)/8*2</f>
        <v>0</v>
      </c>
      <c r="AN26" s="248">
        <f t="shared" ref="AN26" si="25">SUM(AK26:AM27)</f>
        <v>27</v>
      </c>
      <c r="AO26" s="250">
        <v>0</v>
      </c>
      <c r="AP26" s="248"/>
      <c r="AQ26" s="248"/>
      <c r="AR26" s="248"/>
      <c r="AS26" s="258"/>
      <c r="AT26" s="22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>
        <v>8</v>
      </c>
      <c r="H28" s="143">
        <v>8</v>
      </c>
      <c r="I28" s="143">
        <v>8</v>
      </c>
      <c r="J28" s="143">
        <v>8</v>
      </c>
      <c r="K28" s="143"/>
      <c r="L28" s="143">
        <v>8</v>
      </c>
      <c r="M28" s="143">
        <v>8</v>
      </c>
      <c r="N28" s="143">
        <v>8</v>
      </c>
      <c r="O28" s="143">
        <v>8</v>
      </c>
      <c r="P28" s="143">
        <v>8</v>
      </c>
      <c r="Q28" s="143">
        <v>8</v>
      </c>
      <c r="R28" s="143"/>
      <c r="S28" s="143">
        <v>8</v>
      </c>
      <c r="T28" s="143">
        <v>8</v>
      </c>
      <c r="U28" s="143">
        <v>8</v>
      </c>
      <c r="V28" s="143">
        <v>8</v>
      </c>
      <c r="W28" s="143">
        <v>8</v>
      </c>
      <c r="X28" s="143">
        <v>8</v>
      </c>
      <c r="Y28" s="143"/>
      <c r="Z28" s="143">
        <v>8</v>
      </c>
      <c r="AA28" s="143">
        <v>8</v>
      </c>
      <c r="AB28" s="143">
        <v>8</v>
      </c>
      <c r="AC28" s="143">
        <v>8</v>
      </c>
      <c r="AD28" s="143">
        <v>8</v>
      </c>
      <c r="AE28" s="143">
        <v>8</v>
      </c>
      <c r="AF28" s="143"/>
      <c r="AG28" s="143">
        <v>8</v>
      </c>
      <c r="AH28" s="143">
        <v>8</v>
      </c>
      <c r="AI28" s="143">
        <v>8</v>
      </c>
      <c r="AJ28" s="143">
        <v>8</v>
      </c>
      <c r="AK28" s="244">
        <f t="shared" ref="AK28" si="26">((SUM(F28:AJ28))/8)-(SUMIF($F$6:$AJ$6,"C.Nhật",F28:AJ28)/8)</f>
        <v>27</v>
      </c>
      <c r="AL28" s="244">
        <f t="shared" ref="AL28" si="27">SUM(F29:AJ29)/8*1.5</f>
        <v>0</v>
      </c>
      <c r="AM28" s="246">
        <f>SUMIF($F$6:$AJ$6,"C.Nhật",$F28:$AJ29)/8*2</f>
        <v>0</v>
      </c>
      <c r="AN28" s="248">
        <f t="shared" ref="AN28" si="28">SUM(AK28:AM29)</f>
        <v>27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91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91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91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91" s="73" customFormat="1" ht="12.75">
      <c r="A37" s="2"/>
      <c r="B37" s="2" t="s">
        <v>0</v>
      </c>
      <c r="C37" s="2"/>
      <c r="D37" s="219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91" s="73" customFormat="1" ht="12.75">
      <c r="A38" s="2"/>
      <c r="B38" s="2"/>
      <c r="C38" s="2" t="s">
        <v>46</v>
      </c>
      <c r="D38" s="219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9" customFormat="1" ht="15" customHeight="1">
      <c r="A41" s="2"/>
      <c r="B41" s="2"/>
      <c r="C41" s="2" t="s">
        <v>49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9" customFormat="1" ht="15" customHeight="1">
      <c r="A42" s="2"/>
      <c r="B42" s="2"/>
      <c r="C42" s="2" t="s">
        <v>50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9" customFormat="1" ht="15" customHeight="1">
      <c r="A43" s="2"/>
      <c r="B43" s="2"/>
      <c r="C43" s="2" t="s">
        <v>51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9" customFormat="1" ht="15" customHeight="1">
      <c r="A44" s="2"/>
      <c r="B44" s="2"/>
      <c r="C44" s="2" t="s">
        <v>52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9" customFormat="1" ht="15" customHeight="1">
      <c r="A45" s="2"/>
      <c r="B45" s="2"/>
      <c r="C45" s="2" t="s">
        <v>53</v>
      </c>
      <c r="E45" s="2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4"/>
      <c r="AI45" s="124"/>
      <c r="AJ45" s="124"/>
      <c r="AK45" s="2"/>
      <c r="AL45" s="2"/>
      <c r="AM45" s="10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9" customFormat="1" ht="15" customHeight="1">
      <c r="A46" s="2"/>
      <c r="B46" s="2"/>
      <c r="C46" s="2" t="s">
        <v>54</v>
      </c>
      <c r="E46" s="2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4"/>
      <c r="AI46" s="124"/>
      <c r="AJ46" s="124"/>
      <c r="AK46" s="2"/>
      <c r="AL46" s="2"/>
      <c r="AM46" s="10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P28:AP29"/>
    <mergeCell ref="AQ28:AQ29"/>
    <mergeCell ref="AP24:AP25"/>
    <mergeCell ref="AQ24:AQ25"/>
    <mergeCell ref="AR24:AR25"/>
    <mergeCell ref="AS24:AS25"/>
    <mergeCell ref="AS28:AS29"/>
    <mergeCell ref="AR28:AR29"/>
    <mergeCell ref="A28:A29"/>
    <mergeCell ref="B28:B29"/>
    <mergeCell ref="C28:C29"/>
    <mergeCell ref="D28:D29"/>
    <mergeCell ref="AK28:AK29"/>
    <mergeCell ref="AL28:AL29"/>
    <mergeCell ref="AS16:AS1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16:AM17"/>
    <mergeCell ref="AN16:AN17"/>
    <mergeCell ref="AO16:AO17"/>
    <mergeCell ref="AP16:AP17"/>
    <mergeCell ref="AQ16:AQ17"/>
    <mergeCell ref="AM28:AM29"/>
    <mergeCell ref="AN28:AN29"/>
    <mergeCell ref="AO28:AO29"/>
    <mergeCell ref="A16:A17"/>
    <mergeCell ref="B16:B17"/>
    <mergeCell ref="C16:C17"/>
    <mergeCell ref="D16:D17"/>
    <mergeCell ref="AK16:AK17"/>
    <mergeCell ref="AL16:AL17"/>
    <mergeCell ref="AR16:AR17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K9:AK10"/>
    <mergeCell ref="AL11:AL12"/>
    <mergeCell ref="B20:B21"/>
    <mergeCell ref="C20:C21"/>
    <mergeCell ref="D20:D21"/>
    <mergeCell ref="AK20:AK21"/>
    <mergeCell ref="AO11:AO12"/>
    <mergeCell ref="AP11:AP12"/>
    <mergeCell ref="AQ11:AQ12"/>
    <mergeCell ref="AR11:AR12"/>
    <mergeCell ref="AS11:AS12"/>
    <mergeCell ref="AK13:AK14"/>
    <mergeCell ref="AP13:AP14"/>
    <mergeCell ref="AQ13:AQ14"/>
    <mergeCell ref="AR13:AR14"/>
    <mergeCell ref="AM11:AM12"/>
    <mergeCell ref="AN11:AN12"/>
    <mergeCell ref="AS13:AS14"/>
    <mergeCell ref="D18:D19"/>
    <mergeCell ref="AK18:AK19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20:AL21"/>
    <mergeCell ref="AM20:AM21"/>
    <mergeCell ref="AN20:AN21"/>
    <mergeCell ref="AO20:AO21"/>
    <mergeCell ref="AP20:AP21"/>
    <mergeCell ref="A20:A21"/>
    <mergeCell ref="AQ18:AQ19"/>
    <mergeCell ref="AR18:AR19"/>
    <mergeCell ref="AS18:AS1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18:AL19"/>
    <mergeCell ref="AM18:AM19"/>
    <mergeCell ref="AN18:AN19"/>
    <mergeCell ref="AO18:AO19"/>
    <mergeCell ref="AP18:AP19"/>
    <mergeCell ref="A18:A19"/>
    <mergeCell ref="B18:B19"/>
    <mergeCell ref="C18:C19"/>
  </mergeCells>
  <conditionalFormatting sqref="F5:AJ6 F9:AJ14">
    <cfRule type="expression" dxfId="125" priority="33" stopIfTrue="1">
      <formula>IF(WEEKDAY(F$5)=1,TRUE,FALSE)</formula>
    </cfRule>
  </conditionalFormatting>
  <conditionalFormatting sqref="F9:AJ14">
    <cfRule type="expression" dxfId="124" priority="32" stopIfTrue="1">
      <formula>IF(WEEKDAY(F$5)=1,TRUE,FALSE)</formula>
    </cfRule>
  </conditionalFormatting>
  <conditionalFormatting sqref="F22:AJ25 F28:AJ29">
    <cfRule type="expression" dxfId="123" priority="4" stopIfTrue="1">
      <formula>IF(WEEKDAY(F$5)=1,TRUE,FALSE)</formula>
    </cfRule>
  </conditionalFormatting>
  <conditionalFormatting sqref="F22:AJ25 F28:AJ29">
    <cfRule type="expression" dxfId="122" priority="3" stopIfTrue="1">
      <formula>IF(WEEKDAY(F$5)=1,TRUE,FALSE)</formula>
    </cfRule>
  </conditionalFormatting>
  <conditionalFormatting sqref="F16:AJ21">
    <cfRule type="expression" dxfId="121" priority="6" stopIfTrue="1">
      <formula>IF(WEEKDAY(F$5)=1,TRUE,FALSE)</formula>
    </cfRule>
  </conditionalFormatting>
  <conditionalFormatting sqref="F16:AJ21">
    <cfRule type="expression" dxfId="120" priority="5" stopIfTrue="1">
      <formula>IF(WEEKDAY(F$5)=1,TRUE,FALSE)</formula>
    </cfRule>
  </conditionalFormatting>
  <conditionalFormatting sqref="F26:AJ27">
    <cfRule type="expression" dxfId="119" priority="2" stopIfTrue="1">
      <formula>IF(WEEKDAY(F$5)=1,TRUE,FALSE)</formula>
    </cfRule>
  </conditionalFormatting>
  <conditionalFormatting sqref="F26:AJ27">
    <cfRule type="expression" dxfId="11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X10" sqref="X10"/>
      <selection pane="topRight" activeCell="X10" sqref="X10"/>
      <selection pane="bottomLeft" activeCell="X10" sqref="X10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2" t="str">
        <f>"BẢNG THANH TOÁN LƯƠNG THÁNG"&amp;" "&amp;TEXT($E$4,"mm")&amp;" / "&amp;TEXT($E$4,"yyyy")</f>
        <v>BẢNG THANH TOÁN LƯƠNG THÁNG 03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MAX(F10:F24)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-3'!$E$4</f>
        <v>42430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22" t="s">
        <v>40</v>
      </c>
      <c r="G7" s="220" t="s">
        <v>18</v>
      </c>
      <c r="H7" s="222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5200000</v>
      </c>
      <c r="F10" s="92">
        <f>VLOOKUP(B10,'CC -3'!$B$8:$AS$29,36,0)</f>
        <v>27</v>
      </c>
      <c r="G10" s="145">
        <f t="shared" ref="G10" si="3">ROUND(E10/$U$2*F10,0)</f>
        <v>5200000</v>
      </c>
      <c r="H10" s="92">
        <f>(VLOOKUP(B10,'CC -3'!$B$8:$AS$29,37,0)+VLOOKUP(B10,'CC -3'!$B$8:$AS$29,38,0))</f>
        <v>0</v>
      </c>
      <c r="I10" s="145">
        <f t="shared" ref="I10" si="4">ROUND(E10/$U$2*H10,0)</f>
        <v>0</v>
      </c>
      <c r="J10" s="93">
        <f t="shared" ref="J10" si="5">F10+H10</f>
        <v>27</v>
      </c>
      <c r="K10" s="39">
        <f>G10+I10</f>
        <v>5200000</v>
      </c>
      <c r="L10" s="90">
        <f t="shared" ref="L10" si="6">+F10*15000</f>
        <v>405000</v>
      </c>
      <c r="M10" s="40">
        <f t="shared" ref="M10" si="7">K10+L10</f>
        <v>5605000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5605000</v>
      </c>
      <c r="R10" s="39">
        <f>VLOOKUP(B10,DS,23,0)</f>
        <v>0</v>
      </c>
      <c r="S10" s="45">
        <f t="shared" ref="S10" si="9">Q10-R10</f>
        <v>5605000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:C12" si="10">VLOOKUP(B11,DS,2,0)</f>
        <v>Trần Anh Nhựt</v>
      </c>
      <c r="D11" s="116" t="str">
        <f t="shared" ref="D11:D12" si="11">VLOOKUP(B11,DS,3,0)</f>
        <v>Thiết Kế</v>
      </c>
      <c r="E11" s="90">
        <f t="shared" ref="E11:E12" si="12">VLOOKUP(B11,DS,4,0)</f>
        <v>5200000</v>
      </c>
      <c r="F11" s="92">
        <f>VLOOKUP(B11,'CC -3'!$B$8:$AS$29,36,0)</f>
        <v>27</v>
      </c>
      <c r="G11" s="145">
        <f t="shared" ref="G11:G12" si="13">ROUND(E11/$U$2*F11,0)</f>
        <v>5200000</v>
      </c>
      <c r="H11" s="92">
        <f>(VLOOKUP(B11,'CC -3'!$B$8:$AS$29,37,0)+VLOOKUP(B11,'CC -3'!$B$8:$AS$29,38,0))</f>
        <v>0</v>
      </c>
      <c r="I11" s="145">
        <f t="shared" ref="I11:I12" si="14">ROUND(E11/$U$2*H11,0)</f>
        <v>0</v>
      </c>
      <c r="J11" s="93">
        <f t="shared" ref="J11:J12" si="15">F11+H11</f>
        <v>27</v>
      </c>
      <c r="K11" s="39">
        <f t="shared" ref="K11:K12" si="16">G11+I11</f>
        <v>5200000</v>
      </c>
      <c r="L11" s="90">
        <f t="shared" ref="L11:L12" si="17">+F11*15000</f>
        <v>405000</v>
      </c>
      <c r="M11" s="40">
        <f t="shared" ref="M11:M12" si="18">K11+L11</f>
        <v>5605000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5605000</v>
      </c>
      <c r="R11" s="39">
        <f>VLOOKUP(B11,DS,23,0)</f>
        <v>0</v>
      </c>
      <c r="S11" s="45">
        <f t="shared" ref="S11:S12" si="20">Q11-R11</f>
        <v>5605000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10"/>
        <v>Huỳnh Minh Toàn</v>
      </c>
      <c r="D12" s="116" t="str">
        <f t="shared" si="11"/>
        <v>Thủ Kho</v>
      </c>
      <c r="E12" s="90">
        <f t="shared" si="12"/>
        <v>5700000</v>
      </c>
      <c r="F12" s="92">
        <f>VLOOKUP(B12,'CC -3'!$B$8:$AS$29,36,0)</f>
        <v>27</v>
      </c>
      <c r="G12" s="145">
        <f t="shared" si="13"/>
        <v>5700000</v>
      </c>
      <c r="H12" s="92">
        <f>(VLOOKUP(B12,'CC -3'!$B$8:$AS$29,37,0)+VLOOKUP(B12,'CC -3'!$B$8:$AS$29,38,0))</f>
        <v>0</v>
      </c>
      <c r="I12" s="145">
        <f t="shared" si="14"/>
        <v>0</v>
      </c>
      <c r="J12" s="93">
        <f t="shared" si="15"/>
        <v>27</v>
      </c>
      <c r="K12" s="39">
        <f t="shared" si="16"/>
        <v>5700000</v>
      </c>
      <c r="L12" s="90">
        <f t="shared" si="17"/>
        <v>405000</v>
      </c>
      <c r="M12" s="40">
        <f t="shared" si="18"/>
        <v>6105000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6105000</v>
      </c>
      <c r="R12" s="39">
        <f>VLOOKUP(B12,DS,23,0)</f>
        <v>0</v>
      </c>
      <c r="S12" s="45">
        <f t="shared" si="20"/>
        <v>6105000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38"/>
      <c r="B13" s="141"/>
      <c r="C13" s="89"/>
      <c r="D13" s="116"/>
      <c r="E13" s="90"/>
      <c r="F13" s="92"/>
      <c r="G13" s="145"/>
      <c r="H13" s="92"/>
      <c r="I13" s="145"/>
      <c r="J13" s="93"/>
      <c r="K13" s="39"/>
      <c r="L13" s="90"/>
      <c r="M13" s="40"/>
      <c r="N13" s="40"/>
      <c r="O13" s="40"/>
      <c r="P13" s="40"/>
      <c r="Q13" s="39"/>
      <c r="R13" s="39"/>
      <c r="S13" s="45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1">SUM(K9:K12)</f>
        <v>16100000</v>
      </c>
      <c r="L14" s="140">
        <f t="shared" si="21"/>
        <v>1215000</v>
      </c>
      <c r="M14" s="140">
        <f t="shared" si="21"/>
        <v>17315000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17315000</v>
      </c>
      <c r="R14" s="140">
        <f t="shared" si="21"/>
        <v>0</v>
      </c>
      <c r="S14" s="140">
        <f t="shared" si="21"/>
        <v>17315000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5200000</v>
      </c>
      <c r="F16" s="92">
        <f>VLOOKUP(B16,'CC -3'!$B$8:$AS$29,36,0)</f>
        <v>27</v>
      </c>
      <c r="G16" s="145">
        <f t="shared" ref="G16" si="25">ROUND(E16/$U$2*F16,0)</f>
        <v>5200000</v>
      </c>
      <c r="H16" s="92">
        <f>(VLOOKUP(B16,'CC -3'!$B$8:$AS$29,37,0)+VLOOKUP(B16,'CC -3'!$B$8:$AS$29,38,0))</f>
        <v>0</v>
      </c>
      <c r="I16" s="145">
        <f t="shared" ref="I16" si="26">ROUND(E16/$U$2*H16,0)</f>
        <v>0</v>
      </c>
      <c r="J16" s="146">
        <f t="shared" ref="J16:K16" si="27">F16+H16</f>
        <v>27</v>
      </c>
      <c r="K16" s="39">
        <f t="shared" si="27"/>
        <v>5200000</v>
      </c>
      <c r="L16" s="90">
        <f t="shared" ref="L16" si="28">+F16*15000</f>
        <v>405000</v>
      </c>
      <c r="M16" s="40">
        <f t="shared" ref="M16" si="29">K16+L16</f>
        <v>5605000</v>
      </c>
      <c r="N16" s="40">
        <f>IF(VLOOKUP(B16,DS,9,0)="x",'L - 3'!E16*$N$4,0)</f>
        <v>0</v>
      </c>
      <c r="O16" s="40">
        <f t="shared" ref="O16" si="30">IF(VLOOKUP(B16,DS,9,0)="x",E16*0.015,0)</f>
        <v>0</v>
      </c>
      <c r="P16" s="40">
        <f t="shared" ref="P16" si="31">IF(VLOOKUP(B16,DS,9,0)="x",E16*0.01,0)</f>
        <v>0</v>
      </c>
      <c r="Q16" s="39">
        <f>M16-SUM(N16:P16)</f>
        <v>5605000</v>
      </c>
      <c r="R16" s="39">
        <f t="shared" ref="R16" si="32">VLOOKUP(B16,DS,23,0)</f>
        <v>0</v>
      </c>
      <c r="S16" s="45">
        <f>Q16-R16</f>
        <v>5605000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22" si="33">VLOOKUP(B17,DS,2,0)</f>
        <v>Võ Văn Kiệt</v>
      </c>
      <c r="D17" s="116" t="str">
        <f t="shared" ref="D17:D22" si="34">VLOOKUP(B17,DS,3,0)</f>
        <v>Công Đoạn 1</v>
      </c>
      <c r="E17" s="90">
        <f t="shared" ref="E17:E22" si="35">VLOOKUP(B17,DS,4,0)</f>
        <v>5200000</v>
      </c>
      <c r="F17" s="92">
        <f>VLOOKUP(B17,'CC -3'!$B$8:$AS$29,36,0)</f>
        <v>27</v>
      </c>
      <c r="G17" s="145">
        <f t="shared" ref="G17:G22" si="36">ROUND(E17/$U$2*F17,0)</f>
        <v>5200000</v>
      </c>
      <c r="H17" s="92">
        <f>(VLOOKUP(B17,'CC -3'!$B$8:$AS$29,37,0)+VLOOKUP(B17,'CC -3'!$B$8:$AS$29,38,0))</f>
        <v>0</v>
      </c>
      <c r="I17" s="145">
        <f t="shared" ref="I17:I22" si="37">ROUND(E17/$U$2*H17,0)</f>
        <v>0</v>
      </c>
      <c r="J17" s="146">
        <f t="shared" ref="J17:J22" si="38">F17+H17</f>
        <v>27</v>
      </c>
      <c r="K17" s="39">
        <f t="shared" ref="K17:K22" si="39">G17+I17</f>
        <v>5200000</v>
      </c>
      <c r="L17" s="90">
        <f t="shared" ref="L17:L22" si="40">+F17*15000</f>
        <v>405000</v>
      </c>
      <c r="M17" s="40">
        <f t="shared" ref="M17:M22" si="41">K17+L17</f>
        <v>5605000</v>
      </c>
      <c r="N17" s="40">
        <f>IF(VLOOKUP(B17,DS,9,0)="x",'L - 3'!E17*$N$4,0)</f>
        <v>0</v>
      </c>
      <c r="O17" s="40">
        <f t="shared" ref="O17:O22" si="42">IF(VLOOKUP(B17,DS,9,0)="x",E17*0.015,0)</f>
        <v>0</v>
      </c>
      <c r="P17" s="40">
        <f t="shared" ref="P17:P22" si="43">IF(VLOOKUP(B17,DS,9,0)="x",E17*0.01,0)</f>
        <v>0</v>
      </c>
      <c r="Q17" s="39">
        <f t="shared" ref="Q17:Q22" si="44">M17-SUM(N17:P17)</f>
        <v>5605000</v>
      </c>
      <c r="R17" s="39">
        <f t="shared" ref="R17:R22" si="45">VLOOKUP(B17,DS,23,0)</f>
        <v>0</v>
      </c>
      <c r="S17" s="45">
        <f t="shared" ref="S17:S22" si="46">Q17-R17</f>
        <v>5605000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-3'!$B$8:$AS$29,36,0)</f>
        <v>27</v>
      </c>
      <c r="G18" s="145">
        <f t="shared" si="36"/>
        <v>4500000</v>
      </c>
      <c r="H18" s="92">
        <f>(VLOOKUP(B18,'CC -3'!$B$8:$AS$29,37,0)+VLOOKUP(B18,'CC -3'!$B$8:$AS$29,38,0))</f>
        <v>0</v>
      </c>
      <c r="I18" s="145">
        <f t="shared" si="37"/>
        <v>0</v>
      </c>
      <c r="J18" s="146">
        <f t="shared" si="38"/>
        <v>27</v>
      </c>
      <c r="K18" s="39">
        <f t="shared" si="39"/>
        <v>4500000</v>
      </c>
      <c r="L18" s="90">
        <f t="shared" si="40"/>
        <v>405000</v>
      </c>
      <c r="M18" s="40">
        <f t="shared" si="41"/>
        <v>4905000</v>
      </c>
      <c r="N18" s="40">
        <f>IF(VLOOKUP(B18,DS,9,0)="x",'L - 3'!E18*$N$4,0)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4905000</v>
      </c>
      <c r="R18" s="39">
        <f t="shared" si="45"/>
        <v>0</v>
      </c>
      <c r="S18" s="45">
        <f t="shared" si="46"/>
        <v>4905000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33"/>
        <v>Dương Thế Kiệt</v>
      </c>
      <c r="D19" s="116" t="str">
        <f t="shared" si="34"/>
        <v>Công Đoạn 1</v>
      </c>
      <c r="E19" s="90">
        <f t="shared" si="35"/>
        <v>4500000</v>
      </c>
      <c r="F19" s="92">
        <f>VLOOKUP(B19,'CC -3'!$B$8:$AS$29,36,0)</f>
        <v>27</v>
      </c>
      <c r="G19" s="145">
        <f t="shared" si="36"/>
        <v>4500000</v>
      </c>
      <c r="H19" s="92">
        <f>(VLOOKUP(B19,'CC -3'!$B$8:$AS$29,37,0)+VLOOKUP(B19,'CC -3'!$B$8:$AS$29,38,0))</f>
        <v>0</v>
      </c>
      <c r="I19" s="145">
        <f t="shared" si="37"/>
        <v>0</v>
      </c>
      <c r="J19" s="146">
        <f t="shared" si="38"/>
        <v>27</v>
      </c>
      <c r="K19" s="39">
        <f t="shared" si="39"/>
        <v>4500000</v>
      </c>
      <c r="L19" s="90">
        <f t="shared" si="40"/>
        <v>405000</v>
      </c>
      <c r="M19" s="40">
        <f t="shared" si="41"/>
        <v>4905000</v>
      </c>
      <c r="N19" s="40">
        <f>IF(VLOOKUP(B19,DS,9,0)="x",'L - 3'!E19*$N$4,0)</f>
        <v>0</v>
      </c>
      <c r="O19" s="40">
        <f t="shared" si="42"/>
        <v>0</v>
      </c>
      <c r="P19" s="40">
        <f t="shared" si="43"/>
        <v>0</v>
      </c>
      <c r="Q19" s="39">
        <f t="shared" si="44"/>
        <v>4905000</v>
      </c>
      <c r="R19" s="39">
        <f t="shared" si="45"/>
        <v>0</v>
      </c>
      <c r="S19" s="45">
        <f t="shared" si="46"/>
        <v>4905000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33"/>
        <v>Lê Văn Hữu</v>
      </c>
      <c r="D20" s="116" t="str">
        <f t="shared" si="34"/>
        <v>Công Đoạn 2</v>
      </c>
      <c r="E20" s="90">
        <f t="shared" si="35"/>
        <v>5200000</v>
      </c>
      <c r="F20" s="92">
        <f>VLOOKUP(B20,'CC -3'!$B$8:$AS$29,36,0)</f>
        <v>27</v>
      </c>
      <c r="G20" s="145">
        <f t="shared" si="36"/>
        <v>5200000</v>
      </c>
      <c r="H20" s="92">
        <f>(VLOOKUP(B20,'CC -3'!$B$8:$AS$29,37,0)+VLOOKUP(B20,'CC -3'!$B$8:$AS$29,38,0))</f>
        <v>0</v>
      </c>
      <c r="I20" s="145">
        <f t="shared" si="37"/>
        <v>0</v>
      </c>
      <c r="J20" s="146">
        <f t="shared" si="38"/>
        <v>27</v>
      </c>
      <c r="K20" s="39">
        <f t="shared" si="39"/>
        <v>5200000</v>
      </c>
      <c r="L20" s="90">
        <f t="shared" si="40"/>
        <v>405000</v>
      </c>
      <c r="M20" s="40">
        <f t="shared" si="41"/>
        <v>5605000</v>
      </c>
      <c r="N20" s="40">
        <f>IF(VLOOKUP(B20,DS,9,0)="x",'L - 3'!E20*$N$4,0)</f>
        <v>0</v>
      </c>
      <c r="O20" s="40">
        <f t="shared" si="42"/>
        <v>0</v>
      </c>
      <c r="P20" s="40">
        <f t="shared" si="43"/>
        <v>0</v>
      </c>
      <c r="Q20" s="39">
        <f t="shared" si="44"/>
        <v>5605000</v>
      </c>
      <c r="R20" s="39">
        <f t="shared" si="45"/>
        <v>0</v>
      </c>
      <c r="S20" s="45">
        <f t="shared" si="46"/>
        <v>5605000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" si="47">VLOOKUP(B21,DS,2,0)</f>
        <v>Bùi Trường Giang</v>
      </c>
      <c r="D21" s="116" t="str">
        <f t="shared" ref="D21" si="48">VLOOKUP(B21,DS,3,0)</f>
        <v>Công Đoạn 2</v>
      </c>
      <c r="E21" s="90">
        <f t="shared" ref="E21" si="49">VLOOKUP(B21,DS,4,0)</f>
        <v>4500000</v>
      </c>
      <c r="F21" s="92">
        <f>VLOOKUP(B21,'CC -3'!$B$8:$AS$29,36,0)</f>
        <v>27</v>
      </c>
      <c r="G21" s="145">
        <f t="shared" ref="G21" si="50">ROUND(E21/$U$2*F21,0)</f>
        <v>4500000</v>
      </c>
      <c r="H21" s="92">
        <f>(VLOOKUP(B21,'CC -3'!$B$8:$AS$29,37,0)+VLOOKUP(B21,'CC -3'!$B$8:$AS$29,38,0))</f>
        <v>0</v>
      </c>
      <c r="I21" s="145">
        <f t="shared" ref="I21" si="51">ROUND(E21/$U$2*H21,0)</f>
        <v>0</v>
      </c>
      <c r="J21" s="146">
        <f t="shared" ref="J21" si="52">F21+H21</f>
        <v>27</v>
      </c>
      <c r="K21" s="39">
        <f t="shared" ref="K21" si="53">G21+I21</f>
        <v>4500000</v>
      </c>
      <c r="L21" s="90">
        <f t="shared" ref="L21" si="54">+F21*15000</f>
        <v>405000</v>
      </c>
      <c r="M21" s="40">
        <f t="shared" ref="M21" si="55">K21+L21</f>
        <v>4905000</v>
      </c>
      <c r="N21" s="40">
        <f>IF(VLOOKUP(B21,DS,9,0)="x",'L - 3'!E21*$N$4,0)</f>
        <v>0</v>
      </c>
      <c r="O21" s="40">
        <f t="shared" ref="O21" si="56">IF(VLOOKUP(B21,DS,9,0)="x",E21*0.015,0)</f>
        <v>0</v>
      </c>
      <c r="P21" s="40">
        <f t="shared" ref="P21" si="57">IF(VLOOKUP(B21,DS,9,0)="x",E21*0.01,0)</f>
        <v>0</v>
      </c>
      <c r="Q21" s="39">
        <f t="shared" ref="Q21" si="58">M21-SUM(N21:P21)</f>
        <v>4905000</v>
      </c>
      <c r="R21" s="39">
        <f t="shared" ref="R21" si="59">VLOOKUP(B21,DS,23,0)</f>
        <v>0</v>
      </c>
      <c r="S21" s="45">
        <f t="shared" ref="S21" si="60">Q21-R21</f>
        <v>4905000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33"/>
        <v>Nguyễn T Bích Thủy</v>
      </c>
      <c r="D22" s="116" t="str">
        <f t="shared" si="34"/>
        <v>Công Đoạn 2</v>
      </c>
      <c r="E22" s="90">
        <f t="shared" si="35"/>
        <v>4500000</v>
      </c>
      <c r="F22" s="92">
        <f>VLOOKUP(B22,'CC -3'!$B$8:$AS$29,36,0)</f>
        <v>27</v>
      </c>
      <c r="G22" s="145">
        <f t="shared" si="36"/>
        <v>4500000</v>
      </c>
      <c r="H22" s="92">
        <f>(VLOOKUP(B22,'CC -3'!$B$8:$AS$29,37,0)+VLOOKUP(B22,'CC -3'!$B$8:$AS$29,38,0))</f>
        <v>0</v>
      </c>
      <c r="I22" s="145">
        <f t="shared" si="37"/>
        <v>0</v>
      </c>
      <c r="J22" s="146">
        <f t="shared" si="38"/>
        <v>27</v>
      </c>
      <c r="K22" s="39">
        <f t="shared" si="39"/>
        <v>4500000</v>
      </c>
      <c r="L22" s="90">
        <f t="shared" si="40"/>
        <v>405000</v>
      </c>
      <c r="M22" s="40">
        <f t="shared" si="41"/>
        <v>4905000</v>
      </c>
      <c r="N22" s="40">
        <f>IF(VLOOKUP(B22,DS,9,0)="x",'L - 3'!E22*$N$4,0)</f>
        <v>0</v>
      </c>
      <c r="O22" s="40">
        <f t="shared" si="42"/>
        <v>0</v>
      </c>
      <c r="P22" s="40">
        <f t="shared" si="43"/>
        <v>0</v>
      </c>
      <c r="Q22" s="39">
        <f t="shared" si="44"/>
        <v>4905000</v>
      </c>
      <c r="R22" s="39">
        <f t="shared" si="45"/>
        <v>0</v>
      </c>
      <c r="S22" s="45">
        <f t="shared" si="46"/>
        <v>4905000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1">SUM(K15:K23)</f>
        <v>33600000</v>
      </c>
      <c r="L24" s="140">
        <f t="shared" si="61"/>
        <v>2835000</v>
      </c>
      <c r="M24" s="140">
        <f t="shared" si="61"/>
        <v>36435000</v>
      </c>
      <c r="N24" s="140">
        <f t="shared" si="61"/>
        <v>0</v>
      </c>
      <c r="O24" s="140">
        <f t="shared" si="61"/>
        <v>0</v>
      </c>
      <c r="P24" s="140">
        <f t="shared" si="61"/>
        <v>0</v>
      </c>
      <c r="Q24" s="140">
        <f t="shared" si="61"/>
        <v>36435000</v>
      </c>
      <c r="R24" s="140">
        <f t="shared" si="61"/>
        <v>0</v>
      </c>
      <c r="S24" s="140">
        <f t="shared" si="61"/>
        <v>36435000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03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N5:P6 L5 L27 J6:K7 L7 A30:T63 U36:U63 N23:S23 V30:IK63 J23:L23 A64:IK65331 AF15:IK15 V14:IK14 D14:T14 D24:T24 W10:W13 AF5:IK13 A10:B14 Q10:S13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A24" sqref="A24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9" customWidth="1"/>
    <col min="5" max="5" width="7.140625" style="2" customWidth="1"/>
    <col min="6" max="33" width="3.42578125" style="123" customWidth="1"/>
    <col min="34" max="35" width="3.42578125" style="124" customWidth="1"/>
    <col min="36" max="37" width="4.42578125" style="2" customWidth="1"/>
    <col min="38" max="38" width="5.5703125" style="100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55"/>
      <c r="AK1" s="55"/>
      <c r="AL1" s="260" t="s">
        <v>171</v>
      </c>
      <c r="AM1" s="261"/>
      <c r="AN1" s="261"/>
      <c r="AO1" s="261"/>
      <c r="AP1" s="261"/>
      <c r="AQ1" s="261"/>
      <c r="AR1" s="262"/>
      <c r="AS1" s="57"/>
    </row>
    <row r="2" spans="1:90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55"/>
      <c r="AK2" s="55"/>
      <c r="AL2" s="96"/>
      <c r="AM2" s="59"/>
      <c r="AN2" s="59"/>
      <c r="AO2" s="59"/>
      <c r="AP2" s="59"/>
      <c r="AQ2" s="59"/>
      <c r="AR2" s="95"/>
      <c r="AS2" s="95"/>
    </row>
    <row r="3" spans="1:90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55"/>
      <c r="AK3" s="55"/>
      <c r="AL3" s="96"/>
      <c r="AM3" s="57"/>
      <c r="AN3" s="57"/>
      <c r="AO3" s="57"/>
      <c r="AP3" s="57"/>
      <c r="AQ3" s="57"/>
      <c r="AR3" s="62"/>
      <c r="AS3" s="62"/>
    </row>
    <row r="4" spans="1:90" ht="14.25" customHeight="1">
      <c r="A4" s="63"/>
      <c r="B4" s="63"/>
      <c r="C4" s="156"/>
      <c r="D4" s="155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3"/>
      <c r="AK4" s="63"/>
      <c r="AL4" s="97"/>
      <c r="AM4" s="63"/>
      <c r="AN4" s="63"/>
      <c r="AO4" s="63"/>
      <c r="AP4" s="63"/>
      <c r="AQ4" s="63"/>
      <c r="AR4" s="63"/>
      <c r="AS4" s="101"/>
    </row>
    <row r="5" spans="1:90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42461</v>
      </c>
      <c r="G5" s="118">
        <f t="shared" ref="G5:AI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 t="shared" si="0"/>
        <v>42490</v>
      </c>
      <c r="AJ5" s="266" t="s">
        <v>15</v>
      </c>
      <c r="AK5" s="267"/>
      <c r="AL5" s="268"/>
      <c r="AM5" s="269" t="s">
        <v>45</v>
      </c>
      <c r="AN5" s="269" t="s">
        <v>41</v>
      </c>
      <c r="AO5" s="269" t="s">
        <v>42</v>
      </c>
      <c r="AP5" s="269" t="s">
        <v>43</v>
      </c>
      <c r="AQ5" s="269" t="s">
        <v>44</v>
      </c>
      <c r="AR5" s="265" t="s">
        <v>0</v>
      </c>
      <c r="AS5" s="271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T.Sáu</v>
      </c>
      <c r="G6" s="174" t="str">
        <f t="shared" ref="G6:AI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5" t="s">
        <v>16</v>
      </c>
      <c r="AK6" s="175" t="s">
        <v>31</v>
      </c>
      <c r="AL6" s="176" t="s">
        <v>17</v>
      </c>
      <c r="AM6" s="270"/>
      <c r="AN6" s="270"/>
      <c r="AO6" s="270"/>
      <c r="AP6" s="270"/>
      <c r="AQ6" s="270"/>
      <c r="AR6" s="264"/>
      <c r="AS6" s="271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36</v>
      </c>
      <c r="AK7" s="177">
        <v>37</v>
      </c>
      <c r="AL7" s="177">
        <v>38</v>
      </c>
      <c r="AM7" s="177">
        <v>39</v>
      </c>
      <c r="AN7" s="177">
        <v>40</v>
      </c>
      <c r="AO7" s="177">
        <v>41</v>
      </c>
      <c r="AP7" s="177">
        <v>42</v>
      </c>
      <c r="AQ7" s="177">
        <v>43</v>
      </c>
      <c r="AR7" s="177">
        <v>44</v>
      </c>
      <c r="AS7" s="221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80" customFormat="1" ht="21" customHeight="1">
      <c r="A8" s="178" t="s">
        <v>154</v>
      </c>
      <c r="B8" s="181" t="s">
        <v>170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3"/>
      <c r="AS8" s="179"/>
    </row>
    <row r="9" spans="1:90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244">
        <f>((SUM(F9:AI9))/8)-(SUMIF($F$6:$AI$6,"C.Nhật",F9:AI9)/8)</f>
        <v>25</v>
      </c>
      <c r="AK9" s="244">
        <f>SUM(F10:AI10)/8*1.5</f>
        <v>0</v>
      </c>
      <c r="AL9" s="246">
        <f>SUMIF($F$6:$AI$6,"C.Nhật",$F9:$AI10)/8*2</f>
        <v>0</v>
      </c>
      <c r="AM9" s="248">
        <f>SUM(AJ9:AL10)</f>
        <v>25</v>
      </c>
      <c r="AN9" s="250">
        <v>0</v>
      </c>
      <c r="AO9" s="248"/>
      <c r="AP9" s="248"/>
      <c r="AQ9" s="248"/>
      <c r="AR9" s="258"/>
      <c r="AS9" s="221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45"/>
      <c r="AK10" s="245"/>
      <c r="AL10" s="247"/>
      <c r="AM10" s="249"/>
      <c r="AN10" s="251"/>
      <c r="AO10" s="249"/>
      <c r="AP10" s="249"/>
      <c r="AQ10" s="249"/>
      <c r="AR10" s="259"/>
      <c r="AS10" s="221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244">
        <f>((SUM(F11:AI11))/8)-(SUMIF($F$6:$AI$6,"C.Nhật",F11:AI11)/8)</f>
        <v>25</v>
      </c>
      <c r="AK11" s="244">
        <f>SUM(F12:AI12)/8*1.5</f>
        <v>0</v>
      </c>
      <c r="AL11" s="246">
        <f>SUMIF($F$6:$AI$6,"C.Nhật",$F11:$AI12)/8*2</f>
        <v>0</v>
      </c>
      <c r="AM11" s="248">
        <f t="shared" ref="AM11" si="2">SUM(AJ11:AL12)</f>
        <v>25</v>
      </c>
      <c r="AN11" s="250">
        <v>0</v>
      </c>
      <c r="AO11" s="248"/>
      <c r="AP11" s="248"/>
      <c r="AQ11" s="248"/>
      <c r="AR11" s="258"/>
      <c r="AS11" s="229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45"/>
      <c r="AK12" s="245"/>
      <c r="AL12" s="247"/>
      <c r="AM12" s="249"/>
      <c r="AN12" s="251"/>
      <c r="AO12" s="249"/>
      <c r="AP12" s="249"/>
      <c r="AQ12" s="249"/>
      <c r="AR12" s="259"/>
      <c r="AS12" s="22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244">
        <f>((SUM(F13:AI13))/8)-(SUMIF($F$6:$AI$6,"C.Nhật",F13:AI13)/8)</f>
        <v>25</v>
      </c>
      <c r="AK13" s="244">
        <f>SUM(F14:AI14)/8*1.5</f>
        <v>0</v>
      </c>
      <c r="AL13" s="246">
        <f>SUMIF($F$6:$AI$6,"C.Nhật",$F13:$AI14)/8*2</f>
        <v>0</v>
      </c>
      <c r="AM13" s="248">
        <f t="shared" ref="AM13" si="3">SUM(AJ13:AL14)</f>
        <v>25</v>
      </c>
      <c r="AN13" s="250">
        <v>0</v>
      </c>
      <c r="AO13" s="248"/>
      <c r="AP13" s="248"/>
      <c r="AQ13" s="248"/>
      <c r="AR13" s="258"/>
      <c r="AS13" s="221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245"/>
      <c r="AK14" s="245"/>
      <c r="AL14" s="247"/>
      <c r="AM14" s="249"/>
      <c r="AN14" s="251"/>
      <c r="AO14" s="249"/>
      <c r="AP14" s="249"/>
      <c r="AQ14" s="249"/>
      <c r="AR14" s="259"/>
      <c r="AS14" s="22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3"/>
      <c r="AS15" s="179"/>
    </row>
    <row r="16" spans="1:90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244">
        <f>((SUM(F16:AI16))/8)-(SUMIF($F$6:$AI$6,"C.Nhật",F16:AI16)/8)</f>
        <v>25</v>
      </c>
      <c r="AK16" s="244">
        <f>SUM(F17:AI17)/8*1.5</f>
        <v>0</v>
      </c>
      <c r="AL16" s="246">
        <f>SUMIF($F$6:$AI$6,"C.Nhật",$F16:$AI17)/8*2</f>
        <v>0</v>
      </c>
      <c r="AM16" s="248">
        <f>SUM(AJ16:AL17)</f>
        <v>25</v>
      </c>
      <c r="AN16" s="250">
        <v>0</v>
      </c>
      <c r="AO16" s="248"/>
      <c r="AP16" s="248"/>
      <c r="AQ16" s="248"/>
      <c r="AR16" s="258"/>
      <c r="AS16" s="221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45"/>
      <c r="AK17" s="245"/>
      <c r="AL17" s="247"/>
      <c r="AM17" s="249"/>
      <c r="AN17" s="251"/>
      <c r="AO17" s="249"/>
      <c r="AP17" s="249"/>
      <c r="AQ17" s="249"/>
      <c r="AR17" s="259"/>
      <c r="AS17" s="22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244">
        <f>((SUM(F18:AI18))/8)-(SUMIF($F$6:$AI$6,"C.Nhật",F18:AI18)/8)</f>
        <v>25</v>
      </c>
      <c r="AK18" s="244">
        <f>SUM(F19:AI19)/8*1.5</f>
        <v>0</v>
      </c>
      <c r="AL18" s="246">
        <f>SUMIF($F$6:$AI$6,"C.Nhật",$F18:$AI19)/8*2</f>
        <v>0</v>
      </c>
      <c r="AM18" s="248">
        <f t="shared" ref="AM18" si="4">SUM(AJ18:AL19)</f>
        <v>25</v>
      </c>
      <c r="AN18" s="250">
        <v>0</v>
      </c>
      <c r="AO18" s="248"/>
      <c r="AP18" s="248"/>
      <c r="AQ18" s="248"/>
      <c r="AR18" s="258"/>
      <c r="AS18" s="229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45"/>
      <c r="AK19" s="245"/>
      <c r="AL19" s="247"/>
      <c r="AM19" s="249"/>
      <c r="AN19" s="251"/>
      <c r="AO19" s="249"/>
      <c r="AP19" s="249"/>
      <c r="AQ19" s="249"/>
      <c r="AR19" s="259"/>
      <c r="AS19" s="229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244">
        <f>((SUM(F20:AI20))/8)-(SUMIF($F$6:$AI$6,"C.Nhật",F20:AI20)/8)</f>
        <v>25</v>
      </c>
      <c r="AK20" s="244">
        <f>SUM(F21:AI21)/8*1.5</f>
        <v>0</v>
      </c>
      <c r="AL20" s="246">
        <f>SUMIF($F$6:$AI$6,"C.Nhật",$F20:$AI21)/8*2</f>
        <v>0</v>
      </c>
      <c r="AM20" s="248">
        <f t="shared" ref="AM20" si="5">SUM(AJ20:AL21)</f>
        <v>25</v>
      </c>
      <c r="AN20" s="250">
        <v>0</v>
      </c>
      <c r="AO20" s="248"/>
      <c r="AP20" s="248"/>
      <c r="AQ20" s="248"/>
      <c r="AR20" s="258"/>
      <c r="AS20" s="229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245"/>
      <c r="AK21" s="245"/>
      <c r="AL21" s="247"/>
      <c r="AM21" s="249"/>
      <c r="AN21" s="251"/>
      <c r="AO21" s="249"/>
      <c r="AP21" s="249"/>
      <c r="AQ21" s="249"/>
      <c r="AR21" s="259"/>
      <c r="AS21" s="229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>
        <v>8</v>
      </c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/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/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/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244">
        <f>((SUM(F22:AI22))/8)-(SUMIF($F$6:$AI$6,"C.Nhật",F22:AI22)/8)</f>
        <v>25</v>
      </c>
      <c r="AK22" s="244">
        <f>SUM(F23:AI23)/8*1.5</f>
        <v>0</v>
      </c>
      <c r="AL22" s="246">
        <f>SUMIF($F$6:$AI$6,"C.Nhật",$F22:$AI23)/8*2</f>
        <v>0</v>
      </c>
      <c r="AM22" s="248">
        <f t="shared" ref="AM22" si="6">SUM(AJ22:AL23)</f>
        <v>25</v>
      </c>
      <c r="AN22" s="250">
        <v>0</v>
      </c>
      <c r="AO22" s="248"/>
      <c r="AP22" s="248"/>
      <c r="AQ22" s="248"/>
      <c r="AR22" s="258"/>
      <c r="AS22" s="229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245"/>
      <c r="AK23" s="245"/>
      <c r="AL23" s="247"/>
      <c r="AM23" s="249"/>
      <c r="AN23" s="251"/>
      <c r="AO23" s="249"/>
      <c r="AP23" s="249"/>
      <c r="AQ23" s="249"/>
      <c r="AR23" s="259"/>
      <c r="AS23" s="229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>
        <v>8</v>
      </c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/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/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/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244">
        <f>((SUM(F24:AI24))/8)-(SUMIF($F$6:$AI$6,"C.Nhật",F24:AI24)/8)</f>
        <v>25</v>
      </c>
      <c r="AK24" s="244">
        <f>SUM(F25:AI25)/8*1.5</f>
        <v>0</v>
      </c>
      <c r="AL24" s="246">
        <f>SUMIF($F$6:$AI$6,"C.Nhật",$F24:$AI25)/8*2</f>
        <v>0</v>
      </c>
      <c r="AM24" s="248">
        <f t="shared" ref="AM24" si="7">SUM(AJ24:AL25)</f>
        <v>25</v>
      </c>
      <c r="AN24" s="250">
        <v>0</v>
      </c>
      <c r="AO24" s="248"/>
      <c r="AP24" s="248"/>
      <c r="AQ24" s="248"/>
      <c r="AR24" s="258"/>
      <c r="AS24" s="221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245"/>
      <c r="AK25" s="245"/>
      <c r="AL25" s="247"/>
      <c r="AM25" s="249"/>
      <c r="AN25" s="251"/>
      <c r="AO25" s="249"/>
      <c r="AP25" s="249"/>
      <c r="AQ25" s="249"/>
      <c r="AR25" s="259"/>
      <c r="AS25" s="221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>
        <v>8</v>
      </c>
      <c r="H26" s="143"/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/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/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/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/>
      <c r="AJ26" s="244">
        <f>((SUM(F26:AI26))/8)-(SUMIF($F$6:$AI$6,"C.Nhật",F26:AI26)/8)</f>
        <v>25</v>
      </c>
      <c r="AK26" s="244">
        <f>SUM(F27:AI27)/8*1.5</f>
        <v>0</v>
      </c>
      <c r="AL26" s="246">
        <f>SUMIF($F$6:$AI$6,"C.Nhật",$F26:$AI27)/8*2</f>
        <v>0</v>
      </c>
      <c r="AM26" s="248">
        <f t="shared" ref="AM26" si="8">SUM(AJ26:AL27)</f>
        <v>25</v>
      </c>
      <c r="AN26" s="250">
        <v>0</v>
      </c>
      <c r="AO26" s="248"/>
      <c r="AP26" s="248"/>
      <c r="AQ26" s="248"/>
      <c r="AR26" s="258"/>
      <c r="AS26" s="229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245"/>
      <c r="AK27" s="245"/>
      <c r="AL27" s="247"/>
      <c r="AM27" s="249"/>
      <c r="AN27" s="251"/>
      <c r="AO27" s="249"/>
      <c r="AP27" s="249"/>
      <c r="AQ27" s="249"/>
      <c r="AR27" s="259"/>
      <c r="AS27" s="229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>
        <v>8</v>
      </c>
      <c r="H28" s="143"/>
      <c r="I28" s="143">
        <v>8</v>
      </c>
      <c r="J28" s="143">
        <v>8</v>
      </c>
      <c r="K28" s="143">
        <v>8</v>
      </c>
      <c r="L28" s="143">
        <v>8</v>
      </c>
      <c r="M28" s="143">
        <v>8</v>
      </c>
      <c r="N28" s="143">
        <v>8</v>
      </c>
      <c r="O28" s="143"/>
      <c r="P28" s="143">
        <v>8</v>
      </c>
      <c r="Q28" s="143">
        <v>8</v>
      </c>
      <c r="R28" s="143">
        <v>8</v>
      </c>
      <c r="S28" s="143">
        <v>8</v>
      </c>
      <c r="T28" s="143">
        <v>8</v>
      </c>
      <c r="U28" s="143">
        <v>8</v>
      </c>
      <c r="V28" s="143"/>
      <c r="W28" s="143">
        <v>8</v>
      </c>
      <c r="X28" s="143">
        <v>8</v>
      </c>
      <c r="Y28" s="143">
        <v>8</v>
      </c>
      <c r="Z28" s="143">
        <v>8</v>
      </c>
      <c r="AA28" s="143">
        <v>8</v>
      </c>
      <c r="AB28" s="143">
        <v>8</v>
      </c>
      <c r="AC28" s="143"/>
      <c r="AD28" s="143">
        <v>8</v>
      </c>
      <c r="AE28" s="143">
        <v>8</v>
      </c>
      <c r="AF28" s="143">
        <v>8</v>
      </c>
      <c r="AG28" s="143">
        <v>8</v>
      </c>
      <c r="AH28" s="143">
        <v>8</v>
      </c>
      <c r="AI28" s="143"/>
      <c r="AJ28" s="244">
        <f>((SUM(F28:AI28))/8)-(SUMIF($F$6:$AI$6,"C.Nhật",F28:AI28)/8)</f>
        <v>25</v>
      </c>
      <c r="AK28" s="244">
        <f>SUM(F29:AI29)/8*1.5</f>
        <v>0</v>
      </c>
      <c r="AL28" s="246">
        <f>SUMIF($F$6:$AI$6,"C.Nhật",$F28:$AI29)/8*2</f>
        <v>0</v>
      </c>
      <c r="AM28" s="248">
        <f t="shared" ref="AM28" si="9">SUM(AJ28:AL29)</f>
        <v>25</v>
      </c>
      <c r="AN28" s="250">
        <v>0</v>
      </c>
      <c r="AO28" s="248"/>
      <c r="AP28" s="248"/>
      <c r="AQ28" s="248"/>
      <c r="AR28" s="258"/>
      <c r="AS28" s="221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245"/>
      <c r="AK29" s="245"/>
      <c r="AL29" s="247"/>
      <c r="AM29" s="249"/>
      <c r="AN29" s="251"/>
      <c r="AO29" s="249"/>
      <c r="AP29" s="249"/>
      <c r="AQ29" s="249"/>
      <c r="AR29" s="259"/>
      <c r="AS29" s="221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4"/>
      <c r="AK30" s="4"/>
      <c r="AL30" s="98"/>
      <c r="AM30" s="74"/>
      <c r="AN30" s="74"/>
      <c r="AO30" s="74"/>
      <c r="AP30" s="74"/>
      <c r="AQ30" s="74"/>
      <c r="AR30" s="4"/>
      <c r="AS30" s="104"/>
    </row>
    <row r="31" spans="1:89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4"/>
      <c r="AK31" s="4"/>
      <c r="AL31" s="98"/>
      <c r="AM31" s="74"/>
      <c r="AN31" s="74"/>
      <c r="AO31" s="74"/>
      <c r="AP31" s="74"/>
      <c r="AQ31" s="74"/>
      <c r="AR31" s="4"/>
      <c r="AS31" s="104"/>
    </row>
    <row r="32" spans="1:89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4"/>
      <c r="AK32" s="4"/>
      <c r="AL32" s="98"/>
      <c r="AM32" s="76"/>
      <c r="AN32" s="76"/>
      <c r="AO32" s="76"/>
      <c r="AP32" s="76"/>
      <c r="AQ32" s="76"/>
      <c r="AR32" s="4"/>
      <c r="AS32" s="104"/>
    </row>
    <row r="33" spans="1:91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4"/>
      <c r="AK33" s="4"/>
      <c r="AL33" s="98"/>
      <c r="AM33" s="76"/>
      <c r="AN33" s="76"/>
      <c r="AO33" s="76"/>
      <c r="AP33" s="76"/>
      <c r="AQ33" s="76"/>
      <c r="AR33" s="4"/>
      <c r="AS33" s="4"/>
    </row>
    <row r="34" spans="1:91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4"/>
      <c r="AK34" s="4"/>
      <c r="AL34" s="98"/>
      <c r="AM34" s="76"/>
      <c r="AN34" s="76"/>
      <c r="AO34" s="76"/>
      <c r="AP34" s="76"/>
      <c r="AQ34" s="76"/>
      <c r="AR34" s="4"/>
      <c r="AS34" s="4"/>
    </row>
    <row r="35" spans="1:91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4"/>
      <c r="AK35" s="4"/>
      <c r="AL35" s="98"/>
      <c r="AM35" s="76"/>
      <c r="AN35" s="76"/>
      <c r="AO35" s="76"/>
      <c r="AP35" s="76"/>
      <c r="AQ35" s="76"/>
      <c r="AR35" s="4"/>
      <c r="AS35" s="4"/>
    </row>
    <row r="36" spans="1:91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77"/>
      <c r="AL36" s="99"/>
      <c r="AM36" s="10"/>
      <c r="AN36" s="10"/>
      <c r="AO36" s="10"/>
      <c r="AP36" s="10"/>
      <c r="AQ36" s="10"/>
      <c r="AR36" s="14"/>
      <c r="AS36" s="4"/>
    </row>
    <row r="37" spans="1:91" s="73" customFormat="1" ht="12.75">
      <c r="A37" s="2"/>
      <c r="B37" s="2" t="s">
        <v>0</v>
      </c>
      <c r="C37" s="2"/>
      <c r="D37" s="219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2"/>
      <c r="AK37" s="2"/>
      <c r="AL37" s="100"/>
      <c r="AM37" s="2"/>
      <c r="AN37" s="2"/>
      <c r="AO37" s="2"/>
      <c r="AP37" s="2"/>
      <c r="AQ37" s="2"/>
      <c r="AR37" s="2"/>
      <c r="AS37" s="4"/>
    </row>
    <row r="38" spans="1:91" s="73" customFormat="1" ht="12.75">
      <c r="A38" s="2"/>
      <c r="B38" s="2"/>
      <c r="C38" s="2" t="s">
        <v>46</v>
      </c>
      <c r="D38" s="219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2"/>
      <c r="AK38" s="2"/>
      <c r="AL38" s="100"/>
      <c r="AM38" s="2"/>
      <c r="AN38" s="2"/>
      <c r="AO38" s="2"/>
      <c r="AP38" s="2"/>
      <c r="AQ38" s="2"/>
      <c r="AR38" s="2"/>
      <c r="AS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9" customFormat="1" ht="15" customHeight="1">
      <c r="A41" s="2"/>
      <c r="B41" s="2"/>
      <c r="C41" s="2" t="s">
        <v>49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2"/>
      <c r="AK41" s="2"/>
      <c r="AL41" s="100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9" customFormat="1" ht="15" customHeight="1">
      <c r="A42" s="2"/>
      <c r="B42" s="2"/>
      <c r="C42" s="2" t="s">
        <v>50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2"/>
      <c r="AK42" s="2"/>
      <c r="AL42" s="100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9" customFormat="1" ht="15" customHeight="1">
      <c r="A43" s="2"/>
      <c r="B43" s="2"/>
      <c r="C43" s="2" t="s">
        <v>51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2"/>
      <c r="AK43" s="2"/>
      <c r="AL43" s="100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9" customFormat="1" ht="15" customHeight="1">
      <c r="A44" s="2"/>
      <c r="B44" s="2"/>
      <c r="C44" s="2" t="s">
        <v>52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2"/>
      <c r="AK44" s="2"/>
      <c r="AL44" s="100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9" customFormat="1" ht="15" customHeight="1">
      <c r="A45" s="2"/>
      <c r="B45" s="2"/>
      <c r="C45" s="2" t="s">
        <v>53</v>
      </c>
      <c r="E45" s="2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4"/>
      <c r="AI45" s="124"/>
      <c r="AJ45" s="2"/>
      <c r="AK45" s="2"/>
      <c r="AL45" s="100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9" customFormat="1" ht="15" customHeight="1">
      <c r="A46" s="2"/>
      <c r="B46" s="2"/>
      <c r="C46" s="2" t="s">
        <v>54</v>
      </c>
      <c r="E46" s="2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4"/>
      <c r="AI46" s="124"/>
      <c r="AJ46" s="2"/>
      <c r="AK46" s="2"/>
      <c r="AL46" s="100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8:AO29"/>
    <mergeCell ref="AP28:AP29"/>
    <mergeCell ref="AO24:AO25"/>
    <mergeCell ref="AP24:AP25"/>
    <mergeCell ref="AQ24:AQ25"/>
    <mergeCell ref="AR24:AR25"/>
    <mergeCell ref="AR28:AR29"/>
    <mergeCell ref="AQ28:AQ29"/>
    <mergeCell ref="A28:A29"/>
    <mergeCell ref="B28:B29"/>
    <mergeCell ref="C28:C29"/>
    <mergeCell ref="D28:D29"/>
    <mergeCell ref="AJ28:AJ29"/>
    <mergeCell ref="AK28:AK29"/>
    <mergeCell ref="AR16:AR17"/>
    <mergeCell ref="A24:A25"/>
    <mergeCell ref="B24:B25"/>
    <mergeCell ref="C24:C25"/>
    <mergeCell ref="D24:D25"/>
    <mergeCell ref="AJ24:AJ25"/>
    <mergeCell ref="AK24:AK25"/>
    <mergeCell ref="AL24:AL25"/>
    <mergeCell ref="AM24:AM25"/>
    <mergeCell ref="AN24:AN25"/>
    <mergeCell ref="AL16:AL17"/>
    <mergeCell ref="AM16:AM17"/>
    <mergeCell ref="AN16:AN17"/>
    <mergeCell ref="AO16:AO17"/>
    <mergeCell ref="AP16:AP17"/>
    <mergeCell ref="AL28:AL29"/>
    <mergeCell ref="AM28:AM29"/>
    <mergeCell ref="AN28:AN29"/>
    <mergeCell ref="A16:A17"/>
    <mergeCell ref="B16:B17"/>
    <mergeCell ref="C16:C17"/>
    <mergeCell ref="D16:D17"/>
    <mergeCell ref="AJ16:AJ17"/>
    <mergeCell ref="AK16:AK17"/>
    <mergeCell ref="AQ16:AQ17"/>
    <mergeCell ref="AK13:AK14"/>
    <mergeCell ref="AL13:AL14"/>
    <mergeCell ref="AM13:AM14"/>
    <mergeCell ref="AN13:AN14"/>
    <mergeCell ref="A13:A14"/>
    <mergeCell ref="B13:B14"/>
    <mergeCell ref="C13:C14"/>
    <mergeCell ref="D13:D14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11:A12"/>
    <mergeCell ref="B11:B12"/>
    <mergeCell ref="C11:C12"/>
    <mergeCell ref="D11:D12"/>
    <mergeCell ref="AJ11:AJ12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J9:AJ10"/>
    <mergeCell ref="AK11:AK12"/>
    <mergeCell ref="B20:B21"/>
    <mergeCell ref="C20:C21"/>
    <mergeCell ref="D20:D21"/>
    <mergeCell ref="AJ20:AJ21"/>
    <mergeCell ref="AN11:AN12"/>
    <mergeCell ref="AO11:AO12"/>
    <mergeCell ref="AP11:AP12"/>
    <mergeCell ref="AQ11:AQ12"/>
    <mergeCell ref="AR11:AR12"/>
    <mergeCell ref="AJ13:AJ14"/>
    <mergeCell ref="AO13:AO14"/>
    <mergeCell ref="AP13:AP14"/>
    <mergeCell ref="AQ13:AQ14"/>
    <mergeCell ref="AL11:AL12"/>
    <mergeCell ref="AM11:AM12"/>
    <mergeCell ref="AR13:AR14"/>
    <mergeCell ref="D18:D19"/>
    <mergeCell ref="AJ18:AJ19"/>
    <mergeCell ref="AP20:AP21"/>
    <mergeCell ref="AQ20:AQ21"/>
    <mergeCell ref="AR20:AR21"/>
    <mergeCell ref="A22:A23"/>
    <mergeCell ref="B22:B23"/>
    <mergeCell ref="C22:C23"/>
    <mergeCell ref="D22:D23"/>
    <mergeCell ref="AJ22:AJ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K20:AK21"/>
    <mergeCell ref="AL20:AL21"/>
    <mergeCell ref="AM20:AM21"/>
    <mergeCell ref="AN20:AN21"/>
    <mergeCell ref="AO20:AO21"/>
    <mergeCell ref="A20:A21"/>
    <mergeCell ref="AP18:AP19"/>
    <mergeCell ref="AQ18:AQ19"/>
    <mergeCell ref="AR18:AR19"/>
    <mergeCell ref="A26:A27"/>
    <mergeCell ref="B26:B27"/>
    <mergeCell ref="C26:C27"/>
    <mergeCell ref="D26:D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K18:AK19"/>
    <mergeCell ref="AL18:AL19"/>
    <mergeCell ref="AM18:AM19"/>
    <mergeCell ref="AN18:AN19"/>
    <mergeCell ref="AO18:AO19"/>
    <mergeCell ref="A18:A19"/>
    <mergeCell ref="B18:B19"/>
    <mergeCell ref="C18:C19"/>
  </mergeCells>
  <conditionalFormatting sqref="F5:AI6 F9:AI14">
    <cfRule type="expression" dxfId="117" priority="20" stopIfTrue="1">
      <formula>IF(WEEKDAY(F$5)=1,TRUE,FALSE)</formula>
    </cfRule>
  </conditionalFormatting>
  <conditionalFormatting sqref="F22:AI25 F28:AI29">
    <cfRule type="expression" dxfId="116" priority="2" stopIfTrue="1">
      <formula>IF(WEEKDAY(F$5)=1,TRUE,FALSE)</formula>
    </cfRule>
  </conditionalFormatting>
  <conditionalFormatting sqref="F16:AI21">
    <cfRule type="expression" dxfId="115" priority="3" stopIfTrue="1">
      <formula>IF(WEEKDAY(F$5)=1,TRUE,FALSE)</formula>
    </cfRule>
  </conditionalFormatting>
  <conditionalFormatting sqref="F26:AI27">
    <cfRule type="expression" dxfId="1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X10" sqref="X10"/>
      <selection pane="topRight" activeCell="X10" sqref="X10"/>
      <selection pane="bottomLeft" activeCell="X10" sqref="X10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3"/>
      <c r="C1" s="223"/>
      <c r="D1" s="272" t="str">
        <f>"BẢNG THANH TOÁN LƯƠNG THÁNG"&amp;" "&amp;TEXT($E$4,"mm")&amp;" / "&amp;TEXT($E$4,"yyyy")</f>
        <v>BẢNG THANH TOÁN LƯƠNG THÁNG 04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3"/>
      <c r="C2" s="223"/>
      <c r="D2" s="223"/>
      <c r="E2" s="81"/>
      <c r="F2" s="223"/>
      <c r="G2" s="223"/>
      <c r="H2" s="223"/>
      <c r="I2" s="223"/>
      <c r="J2" s="82"/>
      <c r="K2" s="223"/>
      <c r="L2" s="223"/>
      <c r="M2" s="223"/>
      <c r="N2" s="223"/>
      <c r="O2" s="223"/>
      <c r="P2" s="223"/>
      <c r="Q2" s="223"/>
      <c r="R2" s="223"/>
      <c r="S2" s="223"/>
      <c r="T2" s="59"/>
      <c r="U2" s="80">
        <f>MAX(F10:F24)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3"/>
      <c r="C3" s="223"/>
      <c r="D3" s="223"/>
      <c r="E3" s="81"/>
      <c r="F3" s="223"/>
      <c r="G3" s="223"/>
      <c r="H3" s="223"/>
      <c r="I3" s="223"/>
      <c r="J3" s="82"/>
      <c r="K3" s="223"/>
      <c r="L3" s="223"/>
      <c r="M3" s="223"/>
      <c r="N3" s="223"/>
      <c r="O3" s="223"/>
      <c r="P3" s="223"/>
      <c r="Q3" s="223"/>
      <c r="R3" s="223"/>
      <c r="S3" s="22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-4'!$E$4</f>
        <v>42461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22" t="s">
        <v>40</v>
      </c>
      <c r="G7" s="220" t="s">
        <v>18</v>
      </c>
      <c r="H7" s="222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" si="0">VLOOKUP(B10,DS,2,0)</f>
        <v>Nguyễn Thị Thu Sương</v>
      </c>
      <c r="D10" s="116" t="str">
        <f t="shared" ref="D10" si="1">VLOOKUP(B10,DS,3,0)</f>
        <v>Kinh Doanh</v>
      </c>
      <c r="E10" s="90">
        <f t="shared" ref="E10" si="2">VLOOKUP(B10,DS,4,0)</f>
        <v>5200000</v>
      </c>
      <c r="F10" s="92">
        <f>VLOOKUP(B10,'CC -4'!$B$8:$AR$29,35,0)</f>
        <v>25</v>
      </c>
      <c r="G10" s="145">
        <f t="shared" ref="G10" si="3">ROUND(E10/$U$2*F10,0)</f>
        <v>5200000</v>
      </c>
      <c r="H10" s="92">
        <f>(VLOOKUP(B10,'CC -4'!$B$8:$AR$29,36,0)+VLOOKUP(B10,'CC -4'!$B$8:$AR$29,37,0))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5200000</v>
      </c>
      <c r="L10" s="90">
        <f t="shared" ref="L10" si="6">+F10*15000</f>
        <v>375000</v>
      </c>
      <c r="M10" s="40">
        <f t="shared" ref="M10" si="7">K10+L10</f>
        <v>5575000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5575000</v>
      </c>
      <c r="R10" s="39">
        <f>VLOOKUP(B10,DS,23,0)</f>
        <v>0</v>
      </c>
      <c r="S10" s="45">
        <f t="shared" ref="S10" si="9">Q10-R10</f>
        <v>5575000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:C12" si="10">VLOOKUP(B11,DS,2,0)</f>
        <v>Trần Anh Nhựt</v>
      </c>
      <c r="D11" s="116" t="str">
        <f t="shared" ref="D11:D12" si="11">VLOOKUP(B11,DS,3,0)</f>
        <v>Thiết Kế</v>
      </c>
      <c r="E11" s="90">
        <f t="shared" ref="E11:E12" si="12">VLOOKUP(B11,DS,4,0)</f>
        <v>5200000</v>
      </c>
      <c r="F11" s="92">
        <f>VLOOKUP(B11,'CC -4'!$B$8:$AR$29,35,0)</f>
        <v>25</v>
      </c>
      <c r="G11" s="145">
        <f t="shared" ref="G11:G12" si="13">ROUND(E11/$U$2*F11,0)</f>
        <v>5200000</v>
      </c>
      <c r="H11" s="92">
        <f>(VLOOKUP(B11,'CC -4'!$B$8:$AR$29,36,0)+VLOOKUP(B11,'CC -4'!$B$8:$AR$29,37,0))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5200000</v>
      </c>
      <c r="L11" s="90">
        <f t="shared" ref="L11:L12" si="17">+F11*15000</f>
        <v>375000</v>
      </c>
      <c r="M11" s="40">
        <f t="shared" ref="M11:M12" si="18">K11+L11</f>
        <v>5575000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5575000</v>
      </c>
      <c r="R11" s="39">
        <f>VLOOKUP(B11,DS,23,0)</f>
        <v>0</v>
      </c>
      <c r="S11" s="45">
        <f t="shared" ref="S11:S12" si="20">Q11-R11</f>
        <v>5575000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10"/>
        <v>Huỳnh Minh Toàn</v>
      </c>
      <c r="D12" s="116" t="str">
        <f t="shared" si="11"/>
        <v>Thủ Kho</v>
      </c>
      <c r="E12" s="90">
        <f t="shared" si="12"/>
        <v>5700000</v>
      </c>
      <c r="F12" s="92">
        <f>VLOOKUP(B12,'CC -4'!$B$8:$AR$29,35,0)</f>
        <v>25</v>
      </c>
      <c r="G12" s="145">
        <f t="shared" si="13"/>
        <v>5700000</v>
      </c>
      <c r="H12" s="92">
        <f>(VLOOKUP(B12,'CC -4'!$B$8:$AR$29,36,0)+VLOOKUP(B12,'CC -4'!$B$8:$AR$29,37,0))</f>
        <v>0</v>
      </c>
      <c r="I12" s="145">
        <f t="shared" si="14"/>
        <v>0</v>
      </c>
      <c r="J12" s="93">
        <f t="shared" si="15"/>
        <v>25</v>
      </c>
      <c r="K12" s="39">
        <f t="shared" si="16"/>
        <v>5700000</v>
      </c>
      <c r="L12" s="90">
        <f t="shared" si="17"/>
        <v>375000</v>
      </c>
      <c r="M12" s="40">
        <f t="shared" si="18"/>
        <v>6075000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6075000</v>
      </c>
      <c r="R12" s="39">
        <f>VLOOKUP(B12,DS,23,0)</f>
        <v>0</v>
      </c>
      <c r="S12" s="45">
        <f t="shared" si="20"/>
        <v>6075000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1">SUM(K9:K12)</f>
        <v>16100000</v>
      </c>
      <c r="L14" s="140">
        <f t="shared" si="21"/>
        <v>1125000</v>
      </c>
      <c r="M14" s="140">
        <f t="shared" si="21"/>
        <v>17225000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17225000</v>
      </c>
      <c r="R14" s="140">
        <f t="shared" si="21"/>
        <v>0</v>
      </c>
      <c r="S14" s="140">
        <f t="shared" si="21"/>
        <v>17225000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5200000</v>
      </c>
      <c r="F16" s="92">
        <f>VLOOKUP(B16,'CC -4'!$B$8:$AR$29,35,0)</f>
        <v>25</v>
      </c>
      <c r="G16" s="145">
        <f t="shared" ref="G16" si="25">ROUND(E16/$U$2*F16,0)</f>
        <v>5200000</v>
      </c>
      <c r="H16" s="92">
        <f>(VLOOKUP(B16,'CC -4'!$B$8:$AR$29,36,0)+VLOOKUP(B16,'CC -4'!$B$8:$AR$29,37,0))</f>
        <v>0</v>
      </c>
      <c r="I16" s="145">
        <f t="shared" ref="I16" si="26">ROUND(E16/$U$2*H16,0)</f>
        <v>0</v>
      </c>
      <c r="J16" s="146">
        <f t="shared" ref="J16:K16" si="27">F16+H16</f>
        <v>25</v>
      </c>
      <c r="K16" s="39">
        <f t="shared" si="27"/>
        <v>5200000</v>
      </c>
      <c r="L16" s="90">
        <f t="shared" ref="L16" si="28">+F16*15000</f>
        <v>375000</v>
      </c>
      <c r="M16" s="40">
        <f t="shared" ref="M16" si="29">K16+L16</f>
        <v>5575000</v>
      </c>
      <c r="N16" s="40">
        <f>IF(VLOOKUP(B16,DS,9,0)="x",'L - 4'!E16*$N$4,0)</f>
        <v>0</v>
      </c>
      <c r="O16" s="40">
        <f t="shared" ref="O16" si="30">IF(VLOOKUP(B16,DS,9,0)="x",E16*0.015,0)</f>
        <v>0</v>
      </c>
      <c r="P16" s="40">
        <f t="shared" ref="P16" si="31">IF(VLOOKUP(B16,DS,9,0)="x",E16*0.01,0)</f>
        <v>0</v>
      </c>
      <c r="Q16" s="39">
        <f>M16-SUM(N16:P16)</f>
        <v>5575000</v>
      </c>
      <c r="R16" s="39">
        <f t="shared" ref="R16" si="32">VLOOKUP(B16,DS,23,0)</f>
        <v>0</v>
      </c>
      <c r="S16" s="45">
        <f>Q16-R16</f>
        <v>5575000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22" si="33">VLOOKUP(B17,DS,2,0)</f>
        <v>Võ Văn Kiệt</v>
      </c>
      <c r="D17" s="116" t="str">
        <f t="shared" ref="D17:D22" si="34">VLOOKUP(B17,DS,3,0)</f>
        <v>Công Đoạn 1</v>
      </c>
      <c r="E17" s="90">
        <f t="shared" ref="E17:E22" si="35">VLOOKUP(B17,DS,4,0)</f>
        <v>5200000</v>
      </c>
      <c r="F17" s="92">
        <f>VLOOKUP(B17,'CC -4'!$B$8:$AR$29,35,0)</f>
        <v>25</v>
      </c>
      <c r="G17" s="145">
        <f t="shared" ref="G17:G22" si="36">ROUND(E17/$U$2*F17,0)</f>
        <v>5200000</v>
      </c>
      <c r="H17" s="92">
        <f>(VLOOKUP(B17,'CC -4'!$B$8:$AR$29,36,0)+VLOOKUP(B17,'CC -4'!$B$8:$AR$29,37,0))</f>
        <v>0</v>
      </c>
      <c r="I17" s="145">
        <f t="shared" ref="I17:I22" si="37">ROUND(E17/$U$2*H17,0)</f>
        <v>0</v>
      </c>
      <c r="J17" s="146">
        <f t="shared" ref="J17:J22" si="38">F17+H17</f>
        <v>25</v>
      </c>
      <c r="K17" s="39">
        <f t="shared" ref="K17:K22" si="39">G17+I17</f>
        <v>5200000</v>
      </c>
      <c r="L17" s="90">
        <f t="shared" ref="L17:L22" si="40">+F17*15000</f>
        <v>375000</v>
      </c>
      <c r="M17" s="40">
        <f t="shared" ref="M17:M22" si="41">K17+L17</f>
        <v>5575000</v>
      </c>
      <c r="N17" s="40">
        <f>IF(VLOOKUP(B17,DS,9,0)="x",'L - 4'!E17*$N$4,0)</f>
        <v>0</v>
      </c>
      <c r="O17" s="40">
        <f t="shared" ref="O17:O22" si="42">IF(VLOOKUP(B17,DS,9,0)="x",E17*0.015,0)</f>
        <v>0</v>
      </c>
      <c r="P17" s="40">
        <f t="shared" ref="P17:P22" si="43">IF(VLOOKUP(B17,DS,9,0)="x",E17*0.01,0)</f>
        <v>0</v>
      </c>
      <c r="Q17" s="39">
        <f t="shared" ref="Q17:Q22" si="44">M17-SUM(N17:P17)</f>
        <v>5575000</v>
      </c>
      <c r="R17" s="39">
        <f t="shared" ref="R17:R22" si="45">VLOOKUP(B17,DS,23,0)</f>
        <v>0</v>
      </c>
      <c r="S17" s="45">
        <f t="shared" ref="S17:S22" si="46">Q17-R17</f>
        <v>5575000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-4'!$B$8:$AR$29,35,0)</f>
        <v>25</v>
      </c>
      <c r="G18" s="145">
        <f t="shared" si="36"/>
        <v>4500000</v>
      </c>
      <c r="H18" s="92">
        <f>(VLOOKUP(B18,'CC -4'!$B$8:$AR$29,36,0)+VLOOKUP(B18,'CC -4'!$B$8:$AR$29,37,0))</f>
        <v>0</v>
      </c>
      <c r="I18" s="145">
        <f t="shared" si="37"/>
        <v>0</v>
      </c>
      <c r="J18" s="146">
        <f t="shared" si="38"/>
        <v>25</v>
      </c>
      <c r="K18" s="39">
        <f t="shared" si="39"/>
        <v>4500000</v>
      </c>
      <c r="L18" s="90">
        <f t="shared" si="40"/>
        <v>375000</v>
      </c>
      <c r="M18" s="40">
        <f t="shared" si="41"/>
        <v>4875000</v>
      </c>
      <c r="N18" s="40">
        <f>IF(VLOOKUP(B18,DS,9,0)="x",'L - 4'!E18*$N$4,0)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4875000</v>
      </c>
      <c r="R18" s="39">
        <f t="shared" si="45"/>
        <v>0</v>
      </c>
      <c r="S18" s="45">
        <f t="shared" si="46"/>
        <v>4875000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33"/>
        <v>Dương Thế Kiệt</v>
      </c>
      <c r="D19" s="116" t="str">
        <f t="shared" si="34"/>
        <v>Công Đoạn 1</v>
      </c>
      <c r="E19" s="90">
        <f t="shared" si="35"/>
        <v>4500000</v>
      </c>
      <c r="F19" s="92">
        <f>VLOOKUP(B19,'CC -4'!$B$8:$AR$29,35,0)</f>
        <v>25</v>
      </c>
      <c r="G19" s="145">
        <f t="shared" si="36"/>
        <v>4500000</v>
      </c>
      <c r="H19" s="92">
        <f>(VLOOKUP(B19,'CC -4'!$B$8:$AR$29,36,0)+VLOOKUP(B19,'CC -4'!$B$8:$AR$29,37,0))</f>
        <v>0</v>
      </c>
      <c r="I19" s="145">
        <f t="shared" si="37"/>
        <v>0</v>
      </c>
      <c r="J19" s="146">
        <f t="shared" si="38"/>
        <v>25</v>
      </c>
      <c r="K19" s="39">
        <f t="shared" si="39"/>
        <v>4500000</v>
      </c>
      <c r="L19" s="90">
        <f t="shared" si="40"/>
        <v>375000</v>
      </c>
      <c r="M19" s="40">
        <f t="shared" si="41"/>
        <v>4875000</v>
      </c>
      <c r="N19" s="40">
        <f>IF(VLOOKUP(B19,DS,9,0)="x",'L - 4'!E19*$N$4,0)</f>
        <v>0</v>
      </c>
      <c r="O19" s="40">
        <f t="shared" si="42"/>
        <v>0</v>
      </c>
      <c r="P19" s="40">
        <f t="shared" si="43"/>
        <v>0</v>
      </c>
      <c r="Q19" s="39">
        <f t="shared" si="44"/>
        <v>4875000</v>
      </c>
      <c r="R19" s="39">
        <f t="shared" si="45"/>
        <v>0</v>
      </c>
      <c r="S19" s="45">
        <f t="shared" si="46"/>
        <v>4875000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33"/>
        <v>Lê Văn Hữu</v>
      </c>
      <c r="D20" s="116" t="str">
        <f t="shared" si="34"/>
        <v>Công Đoạn 2</v>
      </c>
      <c r="E20" s="90">
        <f t="shared" si="35"/>
        <v>5200000</v>
      </c>
      <c r="F20" s="92">
        <f>VLOOKUP(B20,'CC -4'!$B$8:$AR$29,35,0)</f>
        <v>25</v>
      </c>
      <c r="G20" s="145">
        <f t="shared" si="36"/>
        <v>5200000</v>
      </c>
      <c r="H20" s="92">
        <f>(VLOOKUP(B20,'CC -4'!$B$8:$AR$29,36,0)+VLOOKUP(B20,'CC -4'!$B$8:$AR$29,37,0))</f>
        <v>0</v>
      </c>
      <c r="I20" s="145">
        <f t="shared" si="37"/>
        <v>0</v>
      </c>
      <c r="J20" s="146">
        <f t="shared" si="38"/>
        <v>25</v>
      </c>
      <c r="K20" s="39">
        <f t="shared" si="39"/>
        <v>5200000</v>
      </c>
      <c r="L20" s="90">
        <f t="shared" si="40"/>
        <v>375000</v>
      </c>
      <c r="M20" s="40">
        <f t="shared" si="41"/>
        <v>5575000</v>
      </c>
      <c r="N20" s="40">
        <f>IF(VLOOKUP(B20,DS,9,0)="x",'L - 4'!E20*$N$4,0)</f>
        <v>0</v>
      </c>
      <c r="O20" s="40">
        <f t="shared" si="42"/>
        <v>0</v>
      </c>
      <c r="P20" s="40">
        <f t="shared" si="43"/>
        <v>0</v>
      </c>
      <c r="Q20" s="39">
        <f t="shared" si="44"/>
        <v>5575000</v>
      </c>
      <c r="R20" s="39">
        <f t="shared" si="45"/>
        <v>0</v>
      </c>
      <c r="S20" s="45">
        <f t="shared" si="46"/>
        <v>5575000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" si="47">VLOOKUP(B21,DS,2,0)</f>
        <v>Bùi Trường Giang</v>
      </c>
      <c r="D21" s="116" t="str">
        <f t="shared" ref="D21" si="48">VLOOKUP(B21,DS,3,0)</f>
        <v>Công Đoạn 2</v>
      </c>
      <c r="E21" s="90">
        <f t="shared" ref="E21" si="49">VLOOKUP(B21,DS,4,0)</f>
        <v>4500000</v>
      </c>
      <c r="F21" s="92">
        <f>VLOOKUP(B21,'CC -4'!$B$8:$AR$29,35,0)</f>
        <v>25</v>
      </c>
      <c r="G21" s="145">
        <f t="shared" ref="G21" si="50">ROUND(E21/$U$2*F21,0)</f>
        <v>4500000</v>
      </c>
      <c r="H21" s="92">
        <f>(VLOOKUP(B21,'CC -4'!$B$8:$AR$29,36,0)+VLOOKUP(B21,'CC -4'!$B$8:$AR$29,37,0))</f>
        <v>0</v>
      </c>
      <c r="I21" s="145">
        <f t="shared" ref="I21" si="51">ROUND(E21/$U$2*H21,0)</f>
        <v>0</v>
      </c>
      <c r="J21" s="146">
        <f t="shared" ref="J21" si="52">F21+H21</f>
        <v>25</v>
      </c>
      <c r="K21" s="39">
        <f t="shared" ref="K21" si="53">G21+I21</f>
        <v>4500000</v>
      </c>
      <c r="L21" s="90">
        <f t="shared" ref="L21" si="54">+F21*15000</f>
        <v>375000</v>
      </c>
      <c r="M21" s="40">
        <f t="shared" ref="M21" si="55">K21+L21</f>
        <v>4875000</v>
      </c>
      <c r="N21" s="40">
        <f>IF(VLOOKUP(B21,DS,9,0)="x",'L - 4'!E21*$N$4,0)</f>
        <v>0</v>
      </c>
      <c r="O21" s="40">
        <f t="shared" ref="O21" si="56">IF(VLOOKUP(B21,DS,9,0)="x",E21*0.015,0)</f>
        <v>0</v>
      </c>
      <c r="P21" s="40">
        <f t="shared" ref="P21" si="57">IF(VLOOKUP(B21,DS,9,0)="x",E21*0.01,0)</f>
        <v>0</v>
      </c>
      <c r="Q21" s="39">
        <f t="shared" ref="Q21" si="58">M21-SUM(N21:P21)</f>
        <v>4875000</v>
      </c>
      <c r="R21" s="39">
        <f t="shared" ref="R21" si="59">VLOOKUP(B21,DS,23,0)</f>
        <v>0</v>
      </c>
      <c r="S21" s="45">
        <f t="shared" ref="S21" si="60">Q21-R21</f>
        <v>4875000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33"/>
        <v>Nguyễn T Bích Thủy</v>
      </c>
      <c r="D22" s="116" t="str">
        <f t="shared" si="34"/>
        <v>Công Đoạn 2</v>
      </c>
      <c r="E22" s="90">
        <f t="shared" si="35"/>
        <v>4500000</v>
      </c>
      <c r="F22" s="92">
        <f>VLOOKUP(B22,'CC -4'!$B$8:$AR$29,35,0)</f>
        <v>25</v>
      </c>
      <c r="G22" s="145">
        <f t="shared" si="36"/>
        <v>4500000</v>
      </c>
      <c r="H22" s="92">
        <f>(VLOOKUP(B22,'CC -4'!$B$8:$AR$29,36,0)+VLOOKUP(B22,'CC -4'!$B$8:$AR$29,37,0))</f>
        <v>0</v>
      </c>
      <c r="I22" s="145">
        <f t="shared" si="37"/>
        <v>0</v>
      </c>
      <c r="J22" s="146">
        <f t="shared" si="38"/>
        <v>25</v>
      </c>
      <c r="K22" s="39">
        <f t="shared" si="39"/>
        <v>4500000</v>
      </c>
      <c r="L22" s="90">
        <f t="shared" si="40"/>
        <v>375000</v>
      </c>
      <c r="M22" s="40">
        <f t="shared" si="41"/>
        <v>4875000</v>
      </c>
      <c r="N22" s="40">
        <f>IF(VLOOKUP(B22,DS,9,0)="x",'L - 4'!E22*$N$4,0)</f>
        <v>0</v>
      </c>
      <c r="O22" s="40">
        <f t="shared" si="42"/>
        <v>0</v>
      </c>
      <c r="P22" s="40">
        <f t="shared" si="43"/>
        <v>0</v>
      </c>
      <c r="Q22" s="39">
        <f t="shared" si="44"/>
        <v>4875000</v>
      </c>
      <c r="R22" s="39">
        <f t="shared" si="45"/>
        <v>0</v>
      </c>
      <c r="S22" s="45">
        <f t="shared" si="46"/>
        <v>4875000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1">SUM(K15:K23)</f>
        <v>33600000</v>
      </c>
      <c r="L24" s="140">
        <f t="shared" si="61"/>
        <v>2625000</v>
      </c>
      <c r="M24" s="140">
        <f t="shared" si="61"/>
        <v>36225000</v>
      </c>
      <c r="N24" s="140">
        <f t="shared" si="61"/>
        <v>0</v>
      </c>
      <c r="O24" s="140">
        <f t="shared" si="61"/>
        <v>0</v>
      </c>
      <c r="P24" s="140">
        <f t="shared" si="61"/>
        <v>0</v>
      </c>
      <c r="Q24" s="140">
        <f t="shared" si="61"/>
        <v>36225000</v>
      </c>
      <c r="R24" s="140">
        <f t="shared" si="61"/>
        <v>0</v>
      </c>
      <c r="S24" s="140">
        <f t="shared" si="61"/>
        <v>36225000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04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N5:P6 L5 L27 J6:K7 L7 A30:T63 U36:U63 N23:S23 V30:IK63 J23:L23 A64:IK65331 AF15:IK15 V14:IK14 D14:T14 D24:T24 W10:W13 AF5:IK13 A10:B14 Q10:S13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AF16:IK22 Q16:S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46"/>
  <sheetViews>
    <sheetView zoomScaleNormal="115" workbookViewId="0">
      <pane xSplit="3" ySplit="6" topLeftCell="D13" activePane="bottomRight" state="frozen"/>
      <selection activeCell="A2" sqref="A2:A3"/>
      <selection pane="topRight" activeCell="A2" sqref="A2:A3"/>
      <selection pane="bottomLeft" activeCell="A2" sqref="A2:A3"/>
      <selection pane="bottomRight" activeCell="A24" sqref="A24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42491</v>
      </c>
      <c r="G5" s="118">
        <f t="shared" ref="G5:AJ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 t="shared" si="0"/>
        <v>42520</v>
      </c>
      <c r="AJ5" s="118">
        <f t="shared" si="0"/>
        <v>42521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C.Nhật</v>
      </c>
      <c r="G6" s="174" t="str">
        <f t="shared" ref="G6:AJ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4" t="str">
        <f t="shared" si="1"/>
        <v>T.Ba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170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4">
        <f>((SUM(F9:AJ9))/8)-(SUMIF($F$6:$AJ$6,"C.Nhật",F9:AJ9)/8)</f>
        <v>25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25</v>
      </c>
      <c r="AO9" s="250">
        <v>0</v>
      </c>
      <c r="AP9" s="248"/>
      <c r="AQ9" s="248"/>
      <c r="AR9" s="248"/>
      <c r="AS9" s="258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4">
        <f t="shared" ref="AK11" si="2">((SUM(F11:AJ11))/8)-(SUMIF($F$6:$AJ$6,"C.Nhật",F11:AJ11)/8)</f>
        <v>25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25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44">
        <f t="shared" ref="AK13" si="6">((SUM(F13:AJ13))/8)-(SUMIF($F$6:$AJ$6,"C.Nhật",F13:AJ13)/8)</f>
        <v>25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25</v>
      </c>
      <c r="AO13" s="250">
        <v>0</v>
      </c>
      <c r="AP13" s="248"/>
      <c r="AQ13" s="248"/>
      <c r="AR13" s="248"/>
      <c r="AS13" s="258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4">
        <f t="shared" ref="AK16" si="9">((SUM(F16:AJ16))/8)-(SUMIF($F$6:$AJ$6,"C.Nhật",F16:AJ16)/8)</f>
        <v>25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25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4">
        <f t="shared" ref="AK18" si="11">((SUM(F18:AJ18))/8)-(SUMIF($F$6:$AJ$6,"C.Nhật",F18:AJ18)/8)</f>
        <v>25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25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44">
        <f t="shared" ref="AK20" si="14">((SUM(F20:AJ20))/8)-(SUMIF($F$6:$AJ$6,"C.Nhật",F20:AJ20)/8)</f>
        <v>25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25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/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/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/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/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/>
      <c r="AI22" s="143">
        <v>8</v>
      </c>
      <c r="AJ22" s="143">
        <v>8</v>
      </c>
      <c r="AK22" s="244">
        <f t="shared" ref="AK22" si="17">((SUM(F22:AJ22))/8)-(SUMIF($F$6:$AJ$6,"C.Nhật",F22:AJ22)/8)</f>
        <v>25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 t="shared" ref="AN22" si="19">SUM(AK22:AM23)</f>
        <v>25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/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/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/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/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/>
      <c r="AI24" s="143">
        <v>8</v>
      </c>
      <c r="AJ24" s="143">
        <v>8</v>
      </c>
      <c r="AK24" s="244">
        <f t="shared" ref="AK24" si="20">((SUM(F24:AJ24))/8)-(SUMIF($F$6:$AJ$6,"C.Nhật",F24:AJ24)/8)</f>
        <v>25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25</v>
      </c>
      <c r="AO24" s="250">
        <v>0</v>
      </c>
      <c r="AP24" s="248"/>
      <c r="AQ24" s="248"/>
      <c r="AR24" s="248"/>
      <c r="AS24" s="258"/>
      <c r="AT24" s="22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/>
      <c r="G26" s="143"/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/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/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/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/>
      <c r="AI26" s="143">
        <v>8</v>
      </c>
      <c r="AJ26" s="143">
        <v>8</v>
      </c>
      <c r="AK26" s="244">
        <f t="shared" ref="AK26" si="23">((SUM(F26:AJ26))/8)-(SUMIF($F$6:$AJ$6,"C.Nhật",F26:AJ26)/8)</f>
        <v>25</v>
      </c>
      <c r="AL26" s="244">
        <f t="shared" ref="AL26" si="24">SUM(F27:AJ27)/8*1.5</f>
        <v>0</v>
      </c>
      <c r="AM26" s="246">
        <f>SUMIF($F$6:$AJ$6,"C.Nhật",$F26:$AJ27)/8*2</f>
        <v>0</v>
      </c>
      <c r="AN26" s="248">
        <f t="shared" ref="AN26" si="25">SUM(AK26:AM27)</f>
        <v>25</v>
      </c>
      <c r="AO26" s="250">
        <v>0</v>
      </c>
      <c r="AP26" s="248"/>
      <c r="AQ26" s="248"/>
      <c r="AR26" s="248"/>
      <c r="AS26" s="258"/>
      <c r="AT26" s="22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/>
      <c r="G28" s="143"/>
      <c r="H28" s="143">
        <v>8</v>
      </c>
      <c r="I28" s="143">
        <v>8</v>
      </c>
      <c r="J28" s="143">
        <v>8</v>
      </c>
      <c r="K28" s="143">
        <v>8</v>
      </c>
      <c r="L28" s="143">
        <v>8</v>
      </c>
      <c r="M28" s="143"/>
      <c r="N28" s="143">
        <v>8</v>
      </c>
      <c r="O28" s="143">
        <v>8</v>
      </c>
      <c r="P28" s="143">
        <v>8</v>
      </c>
      <c r="Q28" s="143">
        <v>8</v>
      </c>
      <c r="R28" s="143">
        <v>8</v>
      </c>
      <c r="S28" s="143">
        <v>8</v>
      </c>
      <c r="T28" s="143"/>
      <c r="U28" s="143">
        <v>8</v>
      </c>
      <c r="V28" s="143">
        <v>8</v>
      </c>
      <c r="W28" s="143">
        <v>8</v>
      </c>
      <c r="X28" s="143">
        <v>8</v>
      </c>
      <c r="Y28" s="143">
        <v>8</v>
      </c>
      <c r="Z28" s="143">
        <v>8</v>
      </c>
      <c r="AA28" s="143"/>
      <c r="AB28" s="143">
        <v>8</v>
      </c>
      <c r="AC28" s="143">
        <v>8</v>
      </c>
      <c r="AD28" s="143">
        <v>8</v>
      </c>
      <c r="AE28" s="143">
        <v>8</v>
      </c>
      <c r="AF28" s="143">
        <v>8</v>
      </c>
      <c r="AG28" s="143">
        <v>8</v>
      </c>
      <c r="AH28" s="143"/>
      <c r="AI28" s="143">
        <v>8</v>
      </c>
      <c r="AJ28" s="143">
        <v>8</v>
      </c>
      <c r="AK28" s="244">
        <f t="shared" ref="AK28" si="26">((SUM(F28:AJ28))/8)-(SUMIF($F$6:$AJ$6,"C.Nhật",F28:AJ28)/8)</f>
        <v>25</v>
      </c>
      <c r="AL28" s="244">
        <f t="shared" ref="AL28" si="27">SUM(F29:AJ29)/8*1.5</f>
        <v>0</v>
      </c>
      <c r="AM28" s="246">
        <f>SUMIF($F$6:$AJ$6,"C.Nhật",$F28:$AJ29)/8*2</f>
        <v>0</v>
      </c>
      <c r="AN28" s="248">
        <f t="shared" ref="AN28" si="28">SUM(AK28:AM29)</f>
        <v>25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46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46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46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46" s="73" customFormat="1" ht="12.75">
      <c r="A37" s="2"/>
      <c r="B37" s="2" t="s">
        <v>0</v>
      </c>
      <c r="C37" s="2"/>
      <c r="D37" s="115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46" s="73" customFormat="1" ht="12.75">
      <c r="A38" s="2"/>
      <c r="B38" s="2"/>
      <c r="C38" s="2" t="s">
        <v>46</v>
      </c>
      <c r="D38" s="115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S28:AS29"/>
    <mergeCell ref="AL28:AL29"/>
    <mergeCell ref="AM28:AM29"/>
    <mergeCell ref="AN28:AN29"/>
    <mergeCell ref="AO28:AO29"/>
    <mergeCell ref="AP28:AP29"/>
    <mergeCell ref="A16:A17"/>
    <mergeCell ref="B16:B17"/>
    <mergeCell ref="C16:C17"/>
    <mergeCell ref="AQ28:AQ29"/>
    <mergeCell ref="AR28:AR29"/>
    <mergeCell ref="A28:A29"/>
    <mergeCell ref="B28:B29"/>
    <mergeCell ref="C28:C29"/>
    <mergeCell ref="D28:D29"/>
    <mergeCell ref="AK28:AK29"/>
    <mergeCell ref="AQ24:AQ25"/>
    <mergeCell ref="AR24:AR25"/>
    <mergeCell ref="A24:A25"/>
    <mergeCell ref="B24:B25"/>
    <mergeCell ref="C24:C25"/>
    <mergeCell ref="D24:D25"/>
    <mergeCell ref="AS24:AS25"/>
    <mergeCell ref="AL16:AL17"/>
    <mergeCell ref="AM16:AM17"/>
    <mergeCell ref="AN16:AN17"/>
    <mergeCell ref="AO16:AO17"/>
    <mergeCell ref="AP16:AP17"/>
    <mergeCell ref="AL24:AL25"/>
    <mergeCell ref="AM24:AM25"/>
    <mergeCell ref="AN24:AN25"/>
    <mergeCell ref="AO24:AO25"/>
    <mergeCell ref="AP24:AP25"/>
    <mergeCell ref="AS16:AS17"/>
    <mergeCell ref="AS22:AS23"/>
    <mergeCell ref="AR18:AR19"/>
    <mergeCell ref="AS18:AS19"/>
    <mergeCell ref="AL11:AL12"/>
    <mergeCell ref="AK24:AK25"/>
    <mergeCell ref="D16:D17"/>
    <mergeCell ref="AK16:AK17"/>
    <mergeCell ref="AQ16:AQ17"/>
    <mergeCell ref="AR16:AR17"/>
    <mergeCell ref="AL22:AL23"/>
    <mergeCell ref="AM22:AM23"/>
    <mergeCell ref="AN22:AN23"/>
    <mergeCell ref="AO22:AO23"/>
    <mergeCell ref="AP22:AP23"/>
    <mergeCell ref="AQ22:AQ23"/>
    <mergeCell ref="AR22:AR23"/>
    <mergeCell ref="AN18:AN19"/>
    <mergeCell ref="AO18:AO19"/>
    <mergeCell ref="AP18:AP19"/>
    <mergeCell ref="AQ18:AQ19"/>
    <mergeCell ref="D13:D14"/>
    <mergeCell ref="AK13:AK14"/>
    <mergeCell ref="AM1:AS1"/>
    <mergeCell ref="AP13:AP14"/>
    <mergeCell ref="AQ13:AQ14"/>
    <mergeCell ref="AR13:AR14"/>
    <mergeCell ref="AS13:AS14"/>
    <mergeCell ref="AM9:AM10"/>
    <mergeCell ref="AO5:AO6"/>
    <mergeCell ref="AP5:AP6"/>
    <mergeCell ref="AN5:AN6"/>
    <mergeCell ref="AQ5:AQ6"/>
    <mergeCell ref="AM11:AM12"/>
    <mergeCell ref="AN11:AN12"/>
    <mergeCell ref="AO11:AO12"/>
    <mergeCell ref="AP11:AP12"/>
    <mergeCell ref="AQ11:AQ12"/>
    <mergeCell ref="AR11:AR12"/>
    <mergeCell ref="AL13:AL14"/>
    <mergeCell ref="AM13:AM14"/>
    <mergeCell ref="AN13:AN14"/>
    <mergeCell ref="AO13:AO14"/>
    <mergeCell ref="AK5:AM5"/>
    <mergeCell ref="AK9:AK10"/>
    <mergeCell ref="AT5:AT6"/>
    <mergeCell ref="AO9:AO10"/>
    <mergeCell ref="AP9:AP10"/>
    <mergeCell ref="AQ9:AQ10"/>
    <mergeCell ref="AR9:AR10"/>
    <mergeCell ref="AS9:AS10"/>
    <mergeCell ref="AS5:AS6"/>
    <mergeCell ref="AR5:AR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N9:AN10"/>
    <mergeCell ref="AL9:AL10"/>
    <mergeCell ref="AS11:AS12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18:A19"/>
    <mergeCell ref="B18:B19"/>
    <mergeCell ref="A11:A12"/>
    <mergeCell ref="B11:B12"/>
    <mergeCell ref="C11:C12"/>
    <mergeCell ref="D11:D12"/>
    <mergeCell ref="AK11:AK12"/>
    <mergeCell ref="A13:A14"/>
    <mergeCell ref="B13:B14"/>
    <mergeCell ref="C13:C14"/>
    <mergeCell ref="C18:C19"/>
    <mergeCell ref="D18:D19"/>
    <mergeCell ref="AK18:AK19"/>
    <mergeCell ref="AL18:AL19"/>
    <mergeCell ref="AM18:AM19"/>
    <mergeCell ref="A22:A23"/>
    <mergeCell ref="B22:B23"/>
    <mergeCell ref="C22:C23"/>
    <mergeCell ref="D22:D23"/>
    <mergeCell ref="AK22:AK23"/>
    <mergeCell ref="AQ26:AQ27"/>
    <mergeCell ref="AR26:AR27"/>
    <mergeCell ref="AS26:AS2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D26:D27"/>
    <mergeCell ref="AK26:AK27"/>
  </mergeCells>
  <phoneticPr fontId="47" type="noConversion"/>
  <conditionalFormatting sqref="F5:AJ6 F13:F14 F9:AJ10 G11:AJ14">
    <cfRule type="expression" dxfId="113" priority="53" stopIfTrue="1">
      <formula>IF(WEEKDAY(F$5)=1,TRUE,FALSE)</formula>
    </cfRule>
  </conditionalFormatting>
  <conditionalFormatting sqref="F13:F14 F9:AJ10 G11:AJ14">
    <cfRule type="expression" dxfId="112" priority="50" stopIfTrue="1">
      <formula>IF(WEEKDAY(F$5)=1,TRUE,FALSE)</formula>
    </cfRule>
  </conditionalFormatting>
  <conditionalFormatting sqref="F16:F17 F24:F25 F28:F29">
    <cfRule type="expression" dxfId="111" priority="16" stopIfTrue="1">
      <formula>IF(WEEKDAY(F$5)=1,TRUE,FALSE)</formula>
    </cfRule>
  </conditionalFormatting>
  <conditionalFormatting sqref="F16:F17 F24:F25 F28:F29">
    <cfRule type="expression" dxfId="110" priority="15" stopIfTrue="1">
      <formula>IF(WEEKDAY(F$5)=1,TRUE,FALSE)</formula>
    </cfRule>
  </conditionalFormatting>
  <conditionalFormatting sqref="F11:F12">
    <cfRule type="expression" dxfId="109" priority="14" stopIfTrue="1">
      <formula>IF(WEEKDAY(F$5)=1,TRUE,FALSE)</formula>
    </cfRule>
  </conditionalFormatting>
  <conditionalFormatting sqref="F11:F12">
    <cfRule type="expression" dxfId="108" priority="13" stopIfTrue="1">
      <formula>IF(WEEKDAY(F$5)=1,TRUE,FALSE)</formula>
    </cfRule>
  </conditionalFormatting>
  <conditionalFormatting sqref="F20:F23">
    <cfRule type="expression" dxfId="107" priority="12" stopIfTrue="1">
      <formula>IF(WEEKDAY(F$5)=1,TRUE,FALSE)</formula>
    </cfRule>
  </conditionalFormatting>
  <conditionalFormatting sqref="F20:F23">
    <cfRule type="expression" dxfId="106" priority="11" stopIfTrue="1">
      <formula>IF(WEEKDAY(F$5)=1,TRUE,FALSE)</formula>
    </cfRule>
  </conditionalFormatting>
  <conditionalFormatting sqref="F18:F19">
    <cfRule type="expression" dxfId="105" priority="10" stopIfTrue="1">
      <formula>IF(WEEKDAY(F$5)=1,TRUE,FALSE)</formula>
    </cfRule>
  </conditionalFormatting>
  <conditionalFormatting sqref="F18:F19">
    <cfRule type="expression" dxfId="104" priority="9" stopIfTrue="1">
      <formula>IF(WEEKDAY(F$5)=1,TRUE,FALSE)</formula>
    </cfRule>
  </conditionalFormatting>
  <conditionalFormatting sqref="G16:AJ21">
    <cfRule type="expression" dxfId="103" priority="8" stopIfTrue="1">
      <formula>IF(WEEKDAY(G$5)=1,TRUE,FALSE)</formula>
    </cfRule>
  </conditionalFormatting>
  <conditionalFormatting sqref="G16:AJ21">
    <cfRule type="expression" dxfId="102" priority="7" stopIfTrue="1">
      <formula>IF(WEEKDAY(G$5)=1,TRUE,FALSE)</formula>
    </cfRule>
  </conditionalFormatting>
  <conditionalFormatting sqref="G22:AJ25 G28:AJ29">
    <cfRule type="expression" dxfId="101" priority="6" stopIfTrue="1">
      <formula>IF(WEEKDAY(G$5)=1,TRUE,FALSE)</formula>
    </cfRule>
  </conditionalFormatting>
  <conditionalFormatting sqref="G22:AJ25 G28:AJ29">
    <cfRule type="expression" dxfId="100" priority="5" stopIfTrue="1">
      <formula>IF(WEEKDAY(G$5)=1,TRUE,FALSE)</formula>
    </cfRule>
  </conditionalFormatting>
  <conditionalFormatting sqref="F26:F27">
    <cfRule type="expression" dxfId="99" priority="4" stopIfTrue="1">
      <formula>IF(WEEKDAY(F$5)=1,TRUE,FALSE)</formula>
    </cfRule>
  </conditionalFormatting>
  <conditionalFormatting sqref="F26:F27">
    <cfRule type="expression" dxfId="98" priority="3" stopIfTrue="1">
      <formula>IF(WEEKDAY(F$5)=1,TRUE,FALSE)</formula>
    </cfRule>
  </conditionalFormatting>
  <conditionalFormatting sqref="G26:AJ27">
    <cfRule type="expression" dxfId="97" priority="2" stopIfTrue="1">
      <formula>IF(WEEKDAY(G$5)=1,TRUE,FALSE)</formula>
    </cfRule>
  </conditionalFormatting>
  <conditionalFormatting sqref="G26:AJ27">
    <cfRule type="expression" dxfId="96" priority="1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A2" sqref="A2:A3"/>
      <selection pane="topRight" activeCell="A2" sqref="A2:A3"/>
      <selection pane="bottomLeft" activeCell="A2" sqref="A2:A3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2" t="str">
        <f>"BẢNG THANH TOÁN LƯƠNG THÁNG"&amp;" "&amp;TEXT($E$4,"mm")&amp;" / "&amp;TEXT($E$4,"yyyy")</f>
        <v>BẢNG THANH TOÁN LƯƠNG THÁNG 05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3"/>
      <c r="N2" s="47"/>
      <c r="O2" s="47"/>
      <c r="P2" s="47"/>
      <c r="Q2" s="47"/>
      <c r="R2" s="47"/>
      <c r="S2" s="47"/>
      <c r="T2" s="59"/>
      <c r="U2" s="80">
        <f>MAX(F10:F24)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3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-5'!$E$4</f>
        <v>42491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34" t="s">
        <v>40</v>
      </c>
      <c r="G7" s="35" t="s">
        <v>18</v>
      </c>
      <c r="H7" s="170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1" si="0">VLOOKUP(B10,DS,2,0)</f>
        <v>Nguyễn Thị Thu Sương</v>
      </c>
      <c r="D10" s="116" t="str">
        <f t="shared" ref="D10:D11" si="1">VLOOKUP(B10,DS,3,0)</f>
        <v>Kinh Doanh</v>
      </c>
      <c r="E10" s="90">
        <f t="shared" ref="E10:E11" si="2">VLOOKUP(B10,DS,4,0)</f>
        <v>5200000</v>
      </c>
      <c r="F10" s="92">
        <f>VLOOKUP(B10,'CC -5'!$B$8:$AS$29,36,0)</f>
        <v>25</v>
      </c>
      <c r="G10" s="145">
        <f t="shared" ref="G10:G11" si="3">ROUND(E10/$U$2*F10,0)</f>
        <v>5200000</v>
      </c>
      <c r="H10" s="92">
        <f>(VLOOKUP(B10,'CC -5'!$B$8:$AS$29,37,0)+VLOOKUP(B10,'CC -5'!$B$8:$AS$29,38,0))</f>
        <v>0</v>
      </c>
      <c r="I10" s="145">
        <f t="shared" ref="I10:I11" si="4">ROUND(E10/$U$2*H10,0)</f>
        <v>0</v>
      </c>
      <c r="J10" s="93">
        <f t="shared" ref="J10:J11" si="5">F10+H10</f>
        <v>25</v>
      </c>
      <c r="K10" s="39">
        <f>G10+I10</f>
        <v>5200000</v>
      </c>
      <c r="L10" s="90">
        <f t="shared" ref="L10:L11" si="6">+F10*15000</f>
        <v>375000</v>
      </c>
      <c r="M10" s="40">
        <f t="shared" ref="M10:M11" si="7">K10+L10</f>
        <v>5575000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5575000</v>
      </c>
      <c r="R10" s="39">
        <f>VLOOKUP(B10,DS,23,0)</f>
        <v>0</v>
      </c>
      <c r="S10" s="45">
        <f t="shared" ref="S10:S11" si="9">Q10-R10</f>
        <v>5575000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si="0"/>
        <v>Trần Anh Nhựt</v>
      </c>
      <c r="D11" s="116" t="str">
        <f t="shared" si="1"/>
        <v>Thiết Kế</v>
      </c>
      <c r="E11" s="90">
        <f t="shared" si="2"/>
        <v>5200000</v>
      </c>
      <c r="F11" s="92">
        <f>VLOOKUP(B11,'CC -5'!$B$8:$AS$29,36,0)</f>
        <v>25</v>
      </c>
      <c r="G11" s="145">
        <f t="shared" si="3"/>
        <v>5200000</v>
      </c>
      <c r="H11" s="92">
        <f>(VLOOKUP(B11,'CC -5'!$B$8:$AS$29,37,0)+VLOOKUP(B11,'CC -5'!$B$8:$AS$29,38,0))</f>
        <v>0</v>
      </c>
      <c r="I11" s="145">
        <f t="shared" si="4"/>
        <v>0</v>
      </c>
      <c r="J11" s="93">
        <f t="shared" si="5"/>
        <v>25</v>
      </c>
      <c r="K11" s="39">
        <f t="shared" ref="K11" si="10">G11+I11</f>
        <v>5200000</v>
      </c>
      <c r="L11" s="90">
        <f t="shared" si="6"/>
        <v>375000</v>
      </c>
      <c r="M11" s="40">
        <f t="shared" si="7"/>
        <v>5575000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5575000</v>
      </c>
      <c r="R11" s="39">
        <f>VLOOKUP(B11,DS,23,0)</f>
        <v>0</v>
      </c>
      <c r="S11" s="45">
        <f t="shared" si="9"/>
        <v>5575000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ref="C12" si="11">VLOOKUP(B12,DS,2,0)</f>
        <v>Huỳnh Minh Toàn</v>
      </c>
      <c r="D12" s="116" t="str">
        <f t="shared" ref="D12" si="12">VLOOKUP(B12,DS,3,0)</f>
        <v>Thủ Kho</v>
      </c>
      <c r="E12" s="90">
        <f t="shared" ref="E12" si="13">VLOOKUP(B12,DS,4,0)</f>
        <v>5700000</v>
      </c>
      <c r="F12" s="92">
        <f>VLOOKUP(B12,'CC -5'!$B$8:$AS$29,36,0)</f>
        <v>25</v>
      </c>
      <c r="G12" s="145">
        <f t="shared" ref="G12" si="14">ROUND(E12/$U$2*F12,0)</f>
        <v>5700000</v>
      </c>
      <c r="H12" s="92">
        <f>(VLOOKUP(B12,'CC -5'!$B$8:$AS$29,37,0)+VLOOKUP(B12,'CC -5'!$B$8:$AS$29,38,0))</f>
        <v>0</v>
      </c>
      <c r="I12" s="145">
        <f t="shared" ref="I12" si="15">ROUND(E12/$U$2*H12,0)</f>
        <v>0</v>
      </c>
      <c r="J12" s="93">
        <f t="shared" ref="J12" si="16">F12+H12</f>
        <v>25</v>
      </c>
      <c r="K12" s="39">
        <f t="shared" ref="K12" si="17">G12+I12</f>
        <v>5700000</v>
      </c>
      <c r="L12" s="90">
        <f t="shared" ref="L12" si="18">+F12*15000</f>
        <v>375000</v>
      </c>
      <c r="M12" s="40">
        <f t="shared" ref="M12" si="19">K12+L12</f>
        <v>6075000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20">M12-SUM(N12:P12)</f>
        <v>6075000</v>
      </c>
      <c r="R12" s="39">
        <f>VLOOKUP(B12,DS,23,0)</f>
        <v>0</v>
      </c>
      <c r="S12" s="45">
        <f t="shared" ref="S12" si="21">Q12-R12</f>
        <v>6075000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2">SUM(K9:K12)</f>
        <v>16100000</v>
      </c>
      <c r="L14" s="140">
        <f t="shared" si="22"/>
        <v>1125000</v>
      </c>
      <c r="M14" s="140">
        <f t="shared" si="22"/>
        <v>17225000</v>
      </c>
      <c r="N14" s="140">
        <f t="shared" si="22"/>
        <v>0</v>
      </c>
      <c r="O14" s="140">
        <f t="shared" si="22"/>
        <v>0</v>
      </c>
      <c r="P14" s="140">
        <f t="shared" si="22"/>
        <v>0</v>
      </c>
      <c r="Q14" s="140">
        <f t="shared" si="22"/>
        <v>17225000</v>
      </c>
      <c r="R14" s="140">
        <f t="shared" si="22"/>
        <v>0</v>
      </c>
      <c r="S14" s="140">
        <f t="shared" si="22"/>
        <v>17225000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9" si="23">VLOOKUP(B16,DS,2,0)</f>
        <v>Nguyễn Trường Giang</v>
      </c>
      <c r="D16" s="116" t="str">
        <f t="shared" ref="D16:D19" si="24">VLOOKUP(B16,DS,3,0)</f>
        <v>Thợ in</v>
      </c>
      <c r="E16" s="90">
        <f t="shared" ref="E16:E19" si="25">VLOOKUP(B16,DS,4,0)</f>
        <v>5200000</v>
      </c>
      <c r="F16" s="92">
        <f>VLOOKUP(B16,'CC -5'!$B$8:$AS$29,36,0)</f>
        <v>25</v>
      </c>
      <c r="G16" s="145">
        <f t="shared" ref="G16:G19" si="26">ROUND(E16/$U$2*F16,0)</f>
        <v>5200000</v>
      </c>
      <c r="H16" s="92">
        <f>(VLOOKUP(B16,'CC -5'!$B$8:$AS$29,37,0)+VLOOKUP(B16,'CC -5'!$B$8:$AS$29,38,0))</f>
        <v>0</v>
      </c>
      <c r="I16" s="145">
        <f t="shared" ref="I16:I19" si="27">ROUND(E16/$U$2*H16,0)</f>
        <v>0</v>
      </c>
      <c r="J16" s="146">
        <f t="shared" ref="J16:J19" si="28">F16+H16</f>
        <v>25</v>
      </c>
      <c r="K16" s="39">
        <f t="shared" ref="K16:K19" si="29">G16+I16</f>
        <v>5200000</v>
      </c>
      <c r="L16" s="90">
        <f t="shared" ref="L16:L19" si="30">+F16*15000</f>
        <v>375000</v>
      </c>
      <c r="M16" s="40">
        <f t="shared" ref="M16:M19" si="31">K16+L16</f>
        <v>5575000</v>
      </c>
      <c r="N16" s="40">
        <f>IF(VLOOKUP(B16,DS,9,0)="x",'L - 5'!E16*$N$4,0)</f>
        <v>0</v>
      </c>
      <c r="O16" s="40">
        <f t="shared" ref="O16:O19" si="32">IF(VLOOKUP(B16,DS,9,0)="x",E16*0.015,0)</f>
        <v>0</v>
      </c>
      <c r="P16" s="40">
        <f t="shared" ref="P16:P19" si="33">IF(VLOOKUP(B16,DS,9,0)="x",E16*0.01,0)</f>
        <v>0</v>
      </c>
      <c r="Q16" s="39">
        <f>M16-SUM(N16:P16)</f>
        <v>5575000</v>
      </c>
      <c r="R16" s="39">
        <f t="shared" ref="R16:R19" si="34">VLOOKUP(B16,DS,23,0)</f>
        <v>0</v>
      </c>
      <c r="S16" s="45">
        <f>Q16-R16</f>
        <v>5575000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" si="35">VLOOKUP(B17,DS,2,0)</f>
        <v>Võ Văn Kiệt</v>
      </c>
      <c r="D17" s="116" t="str">
        <f t="shared" ref="D17" si="36">VLOOKUP(B17,DS,3,0)</f>
        <v>Công Đoạn 1</v>
      </c>
      <c r="E17" s="90">
        <f t="shared" ref="E17" si="37">VLOOKUP(B17,DS,4,0)</f>
        <v>5200000</v>
      </c>
      <c r="F17" s="92">
        <f>VLOOKUP(B17,'CC -5'!$B$8:$AS$29,36,0)</f>
        <v>25</v>
      </c>
      <c r="G17" s="145">
        <f t="shared" ref="G17" si="38">ROUND(E17/$U$2*F17,0)</f>
        <v>5200000</v>
      </c>
      <c r="H17" s="92">
        <f>(VLOOKUP(B17,'CC -5'!$B$8:$AS$29,37,0)+VLOOKUP(B17,'CC -5'!$B$8:$AS$29,38,0))</f>
        <v>0</v>
      </c>
      <c r="I17" s="145">
        <f t="shared" ref="I17" si="39">ROUND(E17/$U$2*H17,0)</f>
        <v>0</v>
      </c>
      <c r="J17" s="146">
        <f t="shared" ref="J17" si="40">F17+H17</f>
        <v>25</v>
      </c>
      <c r="K17" s="39">
        <f t="shared" ref="K17" si="41">G17+I17</f>
        <v>5200000</v>
      </c>
      <c r="L17" s="90">
        <f t="shared" ref="L17" si="42">+F17*15000</f>
        <v>375000</v>
      </c>
      <c r="M17" s="40">
        <f t="shared" ref="M17" si="43">K17+L17</f>
        <v>5575000</v>
      </c>
      <c r="N17" s="40">
        <f>IF(VLOOKUP(B17,DS,9,0)="x",'L - 5'!E17*$N$4,0)</f>
        <v>0</v>
      </c>
      <c r="O17" s="40">
        <f t="shared" ref="O17" si="44">IF(VLOOKUP(B17,DS,9,0)="x",E17*0.015,0)</f>
        <v>0</v>
      </c>
      <c r="P17" s="40">
        <f t="shared" ref="P17" si="45">IF(VLOOKUP(B17,DS,9,0)="x",E17*0.01,0)</f>
        <v>0</v>
      </c>
      <c r="Q17" s="39">
        <f t="shared" ref="Q17" si="46">M17-SUM(N17:P17)</f>
        <v>5575000</v>
      </c>
      <c r="R17" s="39">
        <f t="shared" ref="R17" si="47">VLOOKUP(B17,DS,23,0)</f>
        <v>0</v>
      </c>
      <c r="S17" s="45">
        <f t="shared" ref="S17" si="48">Q17-R17</f>
        <v>5575000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23"/>
        <v>Diệp Văn Lân</v>
      </c>
      <c r="D18" s="116" t="str">
        <f t="shared" si="24"/>
        <v>Công Đoạn 1</v>
      </c>
      <c r="E18" s="90">
        <f t="shared" si="25"/>
        <v>4500000</v>
      </c>
      <c r="F18" s="92">
        <f>VLOOKUP(B18,'CC -5'!$B$8:$AS$29,36,0)</f>
        <v>25</v>
      </c>
      <c r="G18" s="145">
        <f t="shared" si="26"/>
        <v>4500000</v>
      </c>
      <c r="H18" s="92">
        <f>(VLOOKUP(B18,'CC -5'!$B$8:$AS$29,37,0)+VLOOKUP(B18,'CC -5'!$B$8:$AS$29,38,0))</f>
        <v>0</v>
      </c>
      <c r="I18" s="145">
        <f t="shared" si="27"/>
        <v>0</v>
      </c>
      <c r="J18" s="146">
        <f t="shared" si="28"/>
        <v>25</v>
      </c>
      <c r="K18" s="39">
        <f t="shared" si="29"/>
        <v>4500000</v>
      </c>
      <c r="L18" s="90">
        <f t="shared" si="30"/>
        <v>375000</v>
      </c>
      <c r="M18" s="40">
        <f t="shared" si="31"/>
        <v>4875000</v>
      </c>
      <c r="N18" s="40">
        <f>IF(VLOOKUP(B18,DS,9,0)="x",'L - 5'!E18*$N$4,0)</f>
        <v>0</v>
      </c>
      <c r="O18" s="40">
        <f t="shared" si="32"/>
        <v>0</v>
      </c>
      <c r="P18" s="40">
        <f t="shared" si="33"/>
        <v>0</v>
      </c>
      <c r="Q18" s="39">
        <f t="shared" ref="Q18:Q19" si="49">M18-SUM(N18:P18)</f>
        <v>4875000</v>
      </c>
      <c r="R18" s="39">
        <f t="shared" si="34"/>
        <v>0</v>
      </c>
      <c r="S18" s="45">
        <f t="shared" ref="S18:S19" si="50">Q18-R18</f>
        <v>4875000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23"/>
        <v>Dương Thế Kiệt</v>
      </c>
      <c r="D19" s="116" t="str">
        <f t="shared" si="24"/>
        <v>Công Đoạn 1</v>
      </c>
      <c r="E19" s="90">
        <f t="shared" si="25"/>
        <v>4500000</v>
      </c>
      <c r="F19" s="92">
        <f>VLOOKUP(B19,'CC -5'!$B$8:$AS$29,36,0)</f>
        <v>25</v>
      </c>
      <c r="G19" s="145">
        <f t="shared" si="26"/>
        <v>4500000</v>
      </c>
      <c r="H19" s="92">
        <f>(VLOOKUP(B19,'CC -5'!$B$8:$AS$29,37,0)+VLOOKUP(B19,'CC -5'!$B$8:$AS$29,38,0))</f>
        <v>0</v>
      </c>
      <c r="I19" s="145">
        <f t="shared" si="27"/>
        <v>0</v>
      </c>
      <c r="J19" s="146">
        <f t="shared" si="28"/>
        <v>25</v>
      </c>
      <c r="K19" s="39">
        <f t="shared" si="29"/>
        <v>4500000</v>
      </c>
      <c r="L19" s="90">
        <f t="shared" si="30"/>
        <v>375000</v>
      </c>
      <c r="M19" s="40">
        <f t="shared" si="31"/>
        <v>4875000</v>
      </c>
      <c r="N19" s="40">
        <f>IF(VLOOKUP(B19,DS,9,0)="x",'L - 5'!E19*$N$4,0)</f>
        <v>0</v>
      </c>
      <c r="O19" s="40">
        <f t="shared" si="32"/>
        <v>0</v>
      </c>
      <c r="P19" s="40">
        <f t="shared" si="33"/>
        <v>0</v>
      </c>
      <c r="Q19" s="39">
        <f t="shared" si="49"/>
        <v>4875000</v>
      </c>
      <c r="R19" s="39">
        <f t="shared" si="34"/>
        <v>0</v>
      </c>
      <c r="S19" s="45">
        <f t="shared" si="50"/>
        <v>4875000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ref="C20:C22" si="51">VLOOKUP(B20,DS,2,0)</f>
        <v>Lê Văn Hữu</v>
      </c>
      <c r="D20" s="116" t="str">
        <f t="shared" ref="D20:D22" si="52">VLOOKUP(B20,DS,3,0)</f>
        <v>Công Đoạn 2</v>
      </c>
      <c r="E20" s="90">
        <f t="shared" ref="E20:E22" si="53">VLOOKUP(B20,DS,4,0)</f>
        <v>5200000</v>
      </c>
      <c r="F20" s="92">
        <f>VLOOKUP(B20,'CC -5'!$B$8:$AS$29,36,0)</f>
        <v>25</v>
      </c>
      <c r="G20" s="145">
        <f t="shared" ref="G20:G22" si="54">ROUND(E20/$U$2*F20,0)</f>
        <v>5200000</v>
      </c>
      <c r="H20" s="92">
        <f>(VLOOKUP(B20,'CC -5'!$B$8:$AS$29,37,0)+VLOOKUP(B20,'CC -5'!$B$8:$AS$29,38,0))</f>
        <v>0</v>
      </c>
      <c r="I20" s="145">
        <f t="shared" ref="I20:I22" si="55">ROUND(E20/$U$2*H20,0)</f>
        <v>0</v>
      </c>
      <c r="J20" s="146">
        <f t="shared" ref="J20:J22" si="56">F20+H20</f>
        <v>25</v>
      </c>
      <c r="K20" s="39">
        <f t="shared" ref="K20:K22" si="57">G20+I20</f>
        <v>5200000</v>
      </c>
      <c r="L20" s="90">
        <f t="shared" ref="L20:L22" si="58">+F20*15000</f>
        <v>375000</v>
      </c>
      <c r="M20" s="40">
        <f t="shared" ref="M20:M22" si="59">K20+L20</f>
        <v>5575000</v>
      </c>
      <c r="N20" s="40">
        <f>IF(VLOOKUP(B20,DS,9,0)="x",'L - 5'!E20*$N$4,0)</f>
        <v>0</v>
      </c>
      <c r="O20" s="40">
        <f t="shared" ref="O20:O22" si="60">IF(VLOOKUP(B20,DS,9,0)="x",E20*0.015,0)</f>
        <v>0</v>
      </c>
      <c r="P20" s="40">
        <f t="shared" ref="P20:P22" si="61">IF(VLOOKUP(B20,DS,9,0)="x",E20*0.01,0)</f>
        <v>0</v>
      </c>
      <c r="Q20" s="39">
        <f t="shared" ref="Q20:Q22" si="62">M20-SUM(N20:P20)</f>
        <v>5575000</v>
      </c>
      <c r="R20" s="39">
        <f t="shared" ref="R20:R22" si="63">VLOOKUP(B20,DS,23,0)</f>
        <v>0</v>
      </c>
      <c r="S20" s="45">
        <f t="shared" ref="S20:S22" si="64">Q20-R20</f>
        <v>5575000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" si="65">VLOOKUP(B21,DS,2,0)</f>
        <v>Bùi Trường Giang</v>
      </c>
      <c r="D21" s="116" t="str">
        <f t="shared" ref="D21" si="66">VLOOKUP(B21,DS,3,0)</f>
        <v>Công Đoạn 2</v>
      </c>
      <c r="E21" s="90">
        <f t="shared" ref="E21" si="67">VLOOKUP(B21,DS,4,0)</f>
        <v>4500000</v>
      </c>
      <c r="F21" s="92">
        <f>VLOOKUP(B21,'CC -5'!$B$8:$AS$29,36,0)</f>
        <v>25</v>
      </c>
      <c r="G21" s="145">
        <f t="shared" ref="G21" si="68">ROUND(E21/$U$2*F21,0)</f>
        <v>4500000</v>
      </c>
      <c r="H21" s="92">
        <f>(VLOOKUP(B21,'CC -5'!$B$8:$AS$29,37,0)+VLOOKUP(B21,'CC -5'!$B$8:$AS$29,38,0))</f>
        <v>0</v>
      </c>
      <c r="I21" s="145">
        <f t="shared" ref="I21" si="69">ROUND(E21/$U$2*H21,0)</f>
        <v>0</v>
      </c>
      <c r="J21" s="146">
        <f t="shared" ref="J21" si="70">F21+H21</f>
        <v>25</v>
      </c>
      <c r="K21" s="39">
        <f t="shared" ref="K21" si="71">G21+I21</f>
        <v>4500000</v>
      </c>
      <c r="L21" s="90">
        <f t="shared" ref="L21" si="72">+F21*15000</f>
        <v>375000</v>
      </c>
      <c r="M21" s="40">
        <f t="shared" ref="M21" si="73">K21+L21</f>
        <v>4875000</v>
      </c>
      <c r="N21" s="40">
        <f>IF(VLOOKUP(B21,DS,9,0)="x",'L - 5'!E21*$N$4,0)</f>
        <v>0</v>
      </c>
      <c r="O21" s="40">
        <f t="shared" ref="O21" si="74">IF(VLOOKUP(B21,DS,9,0)="x",E21*0.015,0)</f>
        <v>0</v>
      </c>
      <c r="P21" s="40">
        <f t="shared" ref="P21" si="75">IF(VLOOKUP(B21,DS,9,0)="x",E21*0.01,0)</f>
        <v>0</v>
      </c>
      <c r="Q21" s="39">
        <f t="shared" ref="Q21" si="76">M21-SUM(N21:P21)</f>
        <v>4875000</v>
      </c>
      <c r="R21" s="39">
        <f t="shared" ref="R21" si="77">VLOOKUP(B21,DS,23,0)</f>
        <v>0</v>
      </c>
      <c r="S21" s="45">
        <f t="shared" ref="S21" si="78">Q21-R21</f>
        <v>4875000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51"/>
        <v>Nguyễn T Bích Thủy</v>
      </c>
      <c r="D22" s="116" t="str">
        <f t="shared" si="52"/>
        <v>Công Đoạn 2</v>
      </c>
      <c r="E22" s="90">
        <f t="shared" si="53"/>
        <v>4500000</v>
      </c>
      <c r="F22" s="92">
        <f>VLOOKUP(B22,'CC -5'!$B$8:$AS$29,36,0)</f>
        <v>25</v>
      </c>
      <c r="G22" s="145">
        <f t="shared" si="54"/>
        <v>4500000</v>
      </c>
      <c r="H22" s="92">
        <f>(VLOOKUP(B22,'CC -5'!$B$8:$AS$29,37,0)+VLOOKUP(B22,'CC -5'!$B$8:$AS$29,38,0))</f>
        <v>0</v>
      </c>
      <c r="I22" s="145">
        <f t="shared" si="55"/>
        <v>0</v>
      </c>
      <c r="J22" s="146">
        <f t="shared" si="56"/>
        <v>25</v>
      </c>
      <c r="K22" s="39">
        <f t="shared" si="57"/>
        <v>4500000</v>
      </c>
      <c r="L22" s="90">
        <f t="shared" si="58"/>
        <v>375000</v>
      </c>
      <c r="M22" s="40">
        <f t="shared" si="59"/>
        <v>4875000</v>
      </c>
      <c r="N22" s="40">
        <f>IF(VLOOKUP(B22,DS,9,0)="x",'L - 5'!E22*$N$4,0)</f>
        <v>0</v>
      </c>
      <c r="O22" s="40">
        <f t="shared" si="60"/>
        <v>0</v>
      </c>
      <c r="P22" s="40">
        <f t="shared" si="61"/>
        <v>0</v>
      </c>
      <c r="Q22" s="39">
        <f t="shared" si="62"/>
        <v>4875000</v>
      </c>
      <c r="R22" s="39">
        <f t="shared" si="63"/>
        <v>0</v>
      </c>
      <c r="S22" s="45">
        <f t="shared" si="64"/>
        <v>4875000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79">SUM(K15:K23)</f>
        <v>33600000</v>
      </c>
      <c r="L24" s="140">
        <f t="shared" si="79"/>
        <v>2625000</v>
      </c>
      <c r="M24" s="140">
        <f t="shared" si="79"/>
        <v>36225000</v>
      </c>
      <c r="N24" s="140">
        <f t="shared" si="79"/>
        <v>0</v>
      </c>
      <c r="O24" s="140">
        <f t="shared" si="79"/>
        <v>0</v>
      </c>
      <c r="P24" s="140">
        <f t="shared" si="79"/>
        <v>0</v>
      </c>
      <c r="Q24" s="140">
        <f t="shared" si="79"/>
        <v>36225000</v>
      </c>
      <c r="R24" s="140">
        <f t="shared" si="79"/>
        <v>0</v>
      </c>
      <c r="S24" s="140">
        <f t="shared" si="79"/>
        <v>36225000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05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4:D14"/>
    <mergeCell ref="A24:D24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4" sqref="A24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1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42522</v>
      </c>
      <c r="G5" s="118">
        <f t="shared" ref="G5:AJ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 t="shared" si="0"/>
        <v>42551</v>
      </c>
      <c r="AJ5" s="118">
        <f t="shared" si="0"/>
        <v>42552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T.Tư</v>
      </c>
      <c r="G6" s="174" t="str">
        <f t="shared" ref="G6:AJ6" si="1">CHOOSE(WEEKDAY(G5),"C.Nhật","T.Hai","T.Ba","T.Tư","T.Năm","T.Sáu","T.Bảy")</f>
        <v>T.Năm</v>
      </c>
      <c r="H6" s="174" t="str">
        <f t="shared" si="1"/>
        <v>T.Sáu</v>
      </c>
      <c r="I6" s="174" t="str">
        <f t="shared" si="1"/>
        <v>T.Bảy</v>
      </c>
      <c r="J6" s="174" t="str">
        <f t="shared" si="1"/>
        <v>C.Nhật</v>
      </c>
      <c r="K6" s="174" t="str">
        <f t="shared" si="1"/>
        <v>T.Hai</v>
      </c>
      <c r="L6" s="174" t="str">
        <f t="shared" si="1"/>
        <v>T.Ba</v>
      </c>
      <c r="M6" s="174" t="str">
        <f t="shared" si="1"/>
        <v>T.Tư</v>
      </c>
      <c r="N6" s="174" t="str">
        <f t="shared" si="1"/>
        <v>T.Năm</v>
      </c>
      <c r="O6" s="174" t="str">
        <f t="shared" si="1"/>
        <v>T.Sáu</v>
      </c>
      <c r="P6" s="174" t="str">
        <f t="shared" si="1"/>
        <v>T.Bảy</v>
      </c>
      <c r="Q6" s="174" t="str">
        <f t="shared" si="1"/>
        <v>C.Nhật</v>
      </c>
      <c r="R6" s="174" t="str">
        <f t="shared" si="1"/>
        <v>T.Hai</v>
      </c>
      <c r="S6" s="174" t="str">
        <f t="shared" si="1"/>
        <v>T.Ba</v>
      </c>
      <c r="T6" s="174" t="str">
        <f t="shared" si="1"/>
        <v>T.Tư</v>
      </c>
      <c r="U6" s="174" t="str">
        <f t="shared" si="1"/>
        <v>T.Năm</v>
      </c>
      <c r="V6" s="174" t="str">
        <f t="shared" si="1"/>
        <v>T.Sáu</v>
      </c>
      <c r="W6" s="174" t="str">
        <f t="shared" si="1"/>
        <v>T.Bảy</v>
      </c>
      <c r="X6" s="174" t="str">
        <f t="shared" si="1"/>
        <v>C.Nhật</v>
      </c>
      <c r="Y6" s="174" t="str">
        <f t="shared" si="1"/>
        <v>T.Hai</v>
      </c>
      <c r="Z6" s="174" t="str">
        <f t="shared" si="1"/>
        <v>T.Ba</v>
      </c>
      <c r="AA6" s="174" t="str">
        <f t="shared" si="1"/>
        <v>T.Tư</v>
      </c>
      <c r="AB6" s="174" t="str">
        <f t="shared" si="1"/>
        <v>T.Năm</v>
      </c>
      <c r="AC6" s="174" t="str">
        <f t="shared" si="1"/>
        <v>T.Sáu</v>
      </c>
      <c r="AD6" s="174" t="str">
        <f t="shared" si="1"/>
        <v>T.Bảy</v>
      </c>
      <c r="AE6" s="174" t="str">
        <f t="shared" si="1"/>
        <v>C.Nhật</v>
      </c>
      <c r="AF6" s="174" t="str">
        <f t="shared" si="1"/>
        <v>T.Hai</v>
      </c>
      <c r="AG6" s="174" t="str">
        <f t="shared" si="1"/>
        <v>T.Ba</v>
      </c>
      <c r="AH6" s="174" t="str">
        <f t="shared" si="1"/>
        <v>T.Tư</v>
      </c>
      <c r="AI6" s="174" t="str">
        <f t="shared" si="1"/>
        <v>T.Năm</v>
      </c>
      <c r="AJ6" s="174" t="str">
        <f t="shared" si="1"/>
        <v>T.Sáu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172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8"/>
      <c r="AT9" s="19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19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26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26</v>
      </c>
      <c r="AO13" s="250">
        <v>0</v>
      </c>
      <c r="AP13" s="248"/>
      <c r="AQ13" s="248"/>
      <c r="AR13" s="248"/>
      <c r="AS13" s="258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26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26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26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/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/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/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/>
      <c r="AF22" s="143">
        <v>8</v>
      </c>
      <c r="AG22" s="143">
        <v>8</v>
      </c>
      <c r="AH22" s="143">
        <v>8</v>
      </c>
      <c r="AI22" s="143">
        <v>8</v>
      </c>
      <c r="AJ22" s="143"/>
      <c r="AK22" s="244">
        <f t="shared" ref="AK22" si="17">((SUM(F22:AJ22))/8)-(SUMIF($F$6:$AJ$6,"C.Nhật",F22:AJ22)/8)</f>
        <v>26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 t="shared" ref="AN22" si="19">SUM(AK22:AM23)</f>
        <v>26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/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/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/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/>
      <c r="AF24" s="143">
        <v>8</v>
      </c>
      <c r="AG24" s="143">
        <v>8</v>
      </c>
      <c r="AH24" s="143">
        <v>8</v>
      </c>
      <c r="AI24" s="143">
        <v>8</v>
      </c>
      <c r="AJ24" s="143"/>
      <c r="AK24" s="244">
        <f t="shared" ref="AK24" si="20">((SUM(F24:AJ24))/8)-(SUMIF($F$6:$AJ$6,"C.Nhật",F24:AJ24)/8)</f>
        <v>26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26</v>
      </c>
      <c r="AO24" s="250">
        <v>0</v>
      </c>
      <c r="AP24" s="248"/>
      <c r="AQ24" s="248"/>
      <c r="AR24" s="248"/>
      <c r="AS24" s="258"/>
      <c r="AT24" s="22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/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/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/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/>
      <c r="AF26" s="143">
        <v>8</v>
      </c>
      <c r="AG26" s="143">
        <v>8</v>
      </c>
      <c r="AH26" s="143">
        <v>8</v>
      </c>
      <c r="AI26" s="143">
        <v>8</v>
      </c>
      <c r="AJ26" s="143"/>
      <c r="AK26" s="244">
        <f t="shared" ref="AK26" si="23">((SUM(F26:AJ26))/8)-(SUMIF($F$6:$AJ$6,"C.Nhật",F26:AJ26)/8)</f>
        <v>26</v>
      </c>
      <c r="AL26" s="244">
        <f t="shared" ref="AL26" si="24">SUM(F27:AJ27)/8*1.5</f>
        <v>0</v>
      </c>
      <c r="AM26" s="246">
        <f>SUMIF($F$6:$AJ$6,"C.Nhật",$F26:$AJ27)/8*2</f>
        <v>0</v>
      </c>
      <c r="AN26" s="248">
        <f t="shared" ref="AN26" si="25">SUM(AK26:AM27)</f>
        <v>26</v>
      </c>
      <c r="AO26" s="250">
        <v>0</v>
      </c>
      <c r="AP26" s="248"/>
      <c r="AQ26" s="248"/>
      <c r="AR26" s="248"/>
      <c r="AS26" s="258"/>
      <c r="AT26" s="22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>
        <v>8</v>
      </c>
      <c r="H28" s="143">
        <v>8</v>
      </c>
      <c r="I28" s="143">
        <v>8</v>
      </c>
      <c r="J28" s="143"/>
      <c r="K28" s="143">
        <v>8</v>
      </c>
      <c r="L28" s="143">
        <v>8</v>
      </c>
      <c r="M28" s="143">
        <v>8</v>
      </c>
      <c r="N28" s="143">
        <v>8</v>
      </c>
      <c r="O28" s="143">
        <v>8</v>
      </c>
      <c r="P28" s="143">
        <v>8</v>
      </c>
      <c r="Q28" s="143"/>
      <c r="R28" s="143">
        <v>8</v>
      </c>
      <c r="S28" s="143">
        <v>8</v>
      </c>
      <c r="T28" s="143">
        <v>8</v>
      </c>
      <c r="U28" s="143">
        <v>8</v>
      </c>
      <c r="V28" s="143">
        <v>8</v>
      </c>
      <c r="W28" s="143">
        <v>8</v>
      </c>
      <c r="X28" s="143"/>
      <c r="Y28" s="143">
        <v>8</v>
      </c>
      <c r="Z28" s="143">
        <v>8</v>
      </c>
      <c r="AA28" s="143">
        <v>8</v>
      </c>
      <c r="AB28" s="143">
        <v>8</v>
      </c>
      <c r="AC28" s="143">
        <v>8</v>
      </c>
      <c r="AD28" s="143">
        <v>8</v>
      </c>
      <c r="AE28" s="143"/>
      <c r="AF28" s="143">
        <v>8</v>
      </c>
      <c r="AG28" s="143">
        <v>8</v>
      </c>
      <c r="AH28" s="143">
        <v>8</v>
      </c>
      <c r="AI28" s="143">
        <v>8</v>
      </c>
      <c r="AJ28" s="143"/>
      <c r="AK28" s="244">
        <f t="shared" ref="AK28" si="26">((SUM(F28:AJ28))/8)-(SUMIF($F$6:$AJ$6,"C.Nhật",F28:AJ28)/8)</f>
        <v>26</v>
      </c>
      <c r="AL28" s="244">
        <f t="shared" ref="AL28" si="27">SUM(F29:AJ29)/8*1.5</f>
        <v>0</v>
      </c>
      <c r="AM28" s="246">
        <f>SUMIF($F$6:$AJ$6,"C.Nhật",$F28:$AJ29)/8*2</f>
        <v>0</v>
      </c>
      <c r="AN28" s="248">
        <f t="shared" ref="AN28" si="28">SUM(AK28:AM29)</f>
        <v>26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46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46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46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46" s="73" customFormat="1" ht="12.75">
      <c r="A37" s="2"/>
      <c r="B37" s="2" t="s">
        <v>0</v>
      </c>
      <c r="C37" s="2"/>
      <c r="D37" s="191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46" s="73" customFormat="1" ht="12.75">
      <c r="A38" s="2"/>
      <c r="B38" s="2"/>
      <c r="C38" s="2" t="s">
        <v>46</v>
      </c>
      <c r="D38" s="191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Q28:AQ29"/>
    <mergeCell ref="AR28:AR29"/>
    <mergeCell ref="AS28:AS29"/>
    <mergeCell ref="AL28:AL29"/>
    <mergeCell ref="AM28:AM29"/>
    <mergeCell ref="AN28:AN29"/>
    <mergeCell ref="AO28:AO29"/>
    <mergeCell ref="AP28:AP29"/>
    <mergeCell ref="A28:A29"/>
    <mergeCell ref="B28:B29"/>
    <mergeCell ref="C28:C29"/>
    <mergeCell ref="D28:D29"/>
    <mergeCell ref="AK28:AK29"/>
    <mergeCell ref="AS24:AS25"/>
    <mergeCell ref="AL16:AL17"/>
    <mergeCell ref="AM16:AM17"/>
    <mergeCell ref="AN16:AN17"/>
    <mergeCell ref="AO16:AO17"/>
    <mergeCell ref="AP16:AP17"/>
    <mergeCell ref="AL24:AL25"/>
    <mergeCell ref="AM24:AM25"/>
    <mergeCell ref="AN24:AN25"/>
    <mergeCell ref="AO24:AO25"/>
    <mergeCell ref="AP24:AP25"/>
    <mergeCell ref="AS16:AS17"/>
    <mergeCell ref="AL22:AL23"/>
    <mergeCell ref="AM22:AM23"/>
    <mergeCell ref="AQ11:AQ12"/>
    <mergeCell ref="AR11:AR12"/>
    <mergeCell ref="A24:A25"/>
    <mergeCell ref="B24:B25"/>
    <mergeCell ref="C24:C25"/>
    <mergeCell ref="D24:D25"/>
    <mergeCell ref="AK24:AK25"/>
    <mergeCell ref="AQ24:AQ25"/>
    <mergeCell ref="AR24:AR2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6:A17"/>
    <mergeCell ref="B16:B17"/>
    <mergeCell ref="C16:C17"/>
    <mergeCell ref="AS13:AS14"/>
    <mergeCell ref="A13:A14"/>
    <mergeCell ref="B13:B14"/>
    <mergeCell ref="AN13:AN14"/>
    <mergeCell ref="AO13:AO14"/>
    <mergeCell ref="C13:C14"/>
    <mergeCell ref="D13:D14"/>
    <mergeCell ref="AK13:AK14"/>
    <mergeCell ref="AL13:AL14"/>
    <mergeCell ref="D16:D17"/>
    <mergeCell ref="AK16:AK17"/>
    <mergeCell ref="AQ16:AQ17"/>
    <mergeCell ref="AR16:AR17"/>
    <mergeCell ref="AM13:AM14"/>
    <mergeCell ref="AP13:AP14"/>
    <mergeCell ref="AQ13:AQ14"/>
    <mergeCell ref="AR13:AR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1:AS12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22:AS23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Q26:AQ27"/>
    <mergeCell ref="AR26:AR27"/>
    <mergeCell ref="AS26:AS2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D26:D27"/>
    <mergeCell ref="AK26:AK27"/>
  </mergeCells>
  <conditionalFormatting sqref="F5:AJ6 F9:AJ10 F11:AI14">
    <cfRule type="expression" dxfId="95" priority="66" stopIfTrue="1">
      <formula>IF(WEEKDAY(F$5)=1,TRUE,FALSE)</formula>
    </cfRule>
  </conditionalFormatting>
  <conditionalFormatting sqref="F9:AJ10 F11:AI14">
    <cfRule type="expression" dxfId="94" priority="65" stopIfTrue="1">
      <formula>IF(WEEKDAY(F$5)=1,TRUE,FALSE)</formula>
    </cfRule>
  </conditionalFormatting>
  <conditionalFormatting sqref="AJ13:AJ14">
    <cfRule type="expression" dxfId="93" priority="56" stopIfTrue="1">
      <formula>IF(WEEKDAY(AJ$5)=1,TRUE,FALSE)</formula>
    </cfRule>
  </conditionalFormatting>
  <conditionalFormatting sqref="AJ13:AJ14">
    <cfRule type="expression" dxfId="92" priority="55" stopIfTrue="1">
      <formula>IF(WEEKDAY(AJ$5)=1,TRUE,FALSE)</formula>
    </cfRule>
  </conditionalFormatting>
  <conditionalFormatting sqref="AJ16:AJ17 AJ24:AJ25 AJ28:AJ29">
    <cfRule type="expression" dxfId="91" priority="54" stopIfTrue="1">
      <formula>IF(WEEKDAY(AJ$5)=1,TRUE,FALSE)</formula>
    </cfRule>
  </conditionalFormatting>
  <conditionalFormatting sqref="AJ16:AJ17 AJ24:AJ25 AJ28:AJ29">
    <cfRule type="expression" dxfId="90" priority="53" stopIfTrue="1">
      <formula>IF(WEEKDAY(AJ$5)=1,TRUE,FALSE)</formula>
    </cfRule>
  </conditionalFormatting>
  <conditionalFormatting sqref="AJ16:AJ17 AJ24:AJ25 AJ28:AJ29">
    <cfRule type="expression" dxfId="89" priority="52" stopIfTrue="1">
      <formula>IF(WEEKDAY(AJ$5)=1,TRUE,FALSE)</formula>
    </cfRule>
  </conditionalFormatting>
  <conditionalFormatting sqref="AJ16:AJ17 AJ24:AJ25 AJ28:AJ29">
    <cfRule type="expression" dxfId="88" priority="50" stopIfTrue="1">
      <formula>IF(WEEKDAY(AJ$5)=1,TRUE,FALSE)</formula>
    </cfRule>
  </conditionalFormatting>
  <conditionalFormatting sqref="AJ16:AJ17 AJ24:AJ25 AJ28:AJ29">
    <cfRule type="expression" dxfId="87" priority="48" stopIfTrue="1">
      <formula>IF(WEEKDAY(AJ$5)=1,TRUE,FALSE)</formula>
    </cfRule>
  </conditionalFormatting>
  <conditionalFormatting sqref="AJ16:AJ17 AJ24:AJ25 AJ28:AJ29">
    <cfRule type="expression" dxfId="86" priority="47" stopIfTrue="1">
      <formula>IF(WEEKDAY(AJ$5)=1,TRUE,FALSE)</formula>
    </cfRule>
  </conditionalFormatting>
  <conditionalFormatting sqref="AJ16:AJ17 AJ24:AJ25 AJ28:AJ29">
    <cfRule type="expression" dxfId="85" priority="46" stopIfTrue="1">
      <formula>IF(WEEKDAY(AJ$5)=1,TRUE,FALSE)</formula>
    </cfRule>
  </conditionalFormatting>
  <conditionalFormatting sqref="AJ20:AJ23">
    <cfRule type="expression" dxfId="84" priority="31" stopIfTrue="1">
      <formula>IF(WEEKDAY(AJ$5)=1,TRUE,FALSE)</formula>
    </cfRule>
  </conditionalFormatting>
  <conditionalFormatting sqref="AJ20:AJ23">
    <cfRule type="expression" dxfId="83" priority="30" stopIfTrue="1">
      <formula>IF(WEEKDAY(AJ$5)=1,TRUE,FALSE)</formula>
    </cfRule>
  </conditionalFormatting>
  <conditionalFormatting sqref="AJ11:AJ12">
    <cfRule type="expression" dxfId="82" priority="33" stopIfTrue="1">
      <formula>IF(WEEKDAY(AJ$5)=1,TRUE,FALSE)</formula>
    </cfRule>
  </conditionalFormatting>
  <conditionalFormatting sqref="AJ11:AJ12">
    <cfRule type="expression" dxfId="81" priority="32" stopIfTrue="1">
      <formula>IF(WEEKDAY(AJ$5)=1,TRUE,FALSE)</formula>
    </cfRule>
  </conditionalFormatting>
  <conditionalFormatting sqref="AJ20:AJ23">
    <cfRule type="expression" dxfId="80" priority="29" stopIfTrue="1">
      <formula>IF(WEEKDAY(AJ$5)=1,TRUE,FALSE)</formula>
    </cfRule>
  </conditionalFormatting>
  <conditionalFormatting sqref="AJ20:AJ23">
    <cfRule type="expression" dxfId="79" priority="28" stopIfTrue="1">
      <formula>IF(WEEKDAY(AJ$5)=1,TRUE,FALSE)</formula>
    </cfRule>
  </conditionalFormatting>
  <conditionalFormatting sqref="AJ20:AJ23">
    <cfRule type="expression" dxfId="78" priority="27" stopIfTrue="1">
      <formula>IF(WEEKDAY(AJ$5)=1,TRUE,FALSE)</formula>
    </cfRule>
  </conditionalFormatting>
  <conditionalFormatting sqref="AJ20:AJ23">
    <cfRule type="expression" dxfId="77" priority="26" stopIfTrue="1">
      <formula>IF(WEEKDAY(AJ$5)=1,TRUE,FALSE)</formula>
    </cfRule>
  </conditionalFormatting>
  <conditionalFormatting sqref="AJ20:AJ23">
    <cfRule type="expression" dxfId="76" priority="25" stopIfTrue="1">
      <formula>IF(WEEKDAY(AJ$5)=1,TRUE,FALSE)</formula>
    </cfRule>
  </conditionalFormatting>
  <conditionalFormatting sqref="AJ18:AJ19">
    <cfRule type="expression" dxfId="75" priority="22" stopIfTrue="1">
      <formula>IF(WEEKDAY(AJ$5)=1,TRUE,FALSE)</formula>
    </cfRule>
  </conditionalFormatting>
  <conditionalFormatting sqref="AJ18:AJ19">
    <cfRule type="expression" dxfId="74" priority="21" stopIfTrue="1">
      <formula>IF(WEEKDAY(AJ$5)=1,TRUE,FALSE)</formula>
    </cfRule>
  </conditionalFormatting>
  <conditionalFormatting sqref="AJ18:AJ19">
    <cfRule type="expression" dxfId="73" priority="20" stopIfTrue="1">
      <formula>IF(WEEKDAY(AJ$5)=1,TRUE,FALSE)</formula>
    </cfRule>
  </conditionalFormatting>
  <conditionalFormatting sqref="AJ18:AJ19">
    <cfRule type="expression" dxfId="72" priority="19" stopIfTrue="1">
      <formula>IF(WEEKDAY(AJ$5)=1,TRUE,FALSE)</formula>
    </cfRule>
  </conditionalFormatting>
  <conditionalFormatting sqref="AJ18:AJ19">
    <cfRule type="expression" dxfId="71" priority="18" stopIfTrue="1">
      <formula>IF(WEEKDAY(AJ$5)=1,TRUE,FALSE)</formula>
    </cfRule>
  </conditionalFormatting>
  <conditionalFormatting sqref="AJ18:AJ19">
    <cfRule type="expression" dxfId="70" priority="17" stopIfTrue="1">
      <formula>IF(WEEKDAY(AJ$5)=1,TRUE,FALSE)</formula>
    </cfRule>
  </conditionalFormatting>
  <conditionalFormatting sqref="AJ18:AJ19">
    <cfRule type="expression" dxfId="69" priority="16" stopIfTrue="1">
      <formula>IF(WEEKDAY(AJ$5)=1,TRUE,FALSE)</formula>
    </cfRule>
  </conditionalFormatting>
  <conditionalFormatting sqref="F22:AI25 F28:AI29">
    <cfRule type="expression" dxfId="68" priority="11" stopIfTrue="1">
      <formula>IF(WEEKDAY(F$5)=1,TRUE,FALSE)</formula>
    </cfRule>
  </conditionalFormatting>
  <conditionalFormatting sqref="F22:AI25 F28:AI29">
    <cfRule type="expression" dxfId="67" priority="10" stopIfTrue="1">
      <formula>IF(WEEKDAY(F$5)=1,TRUE,FALSE)</formula>
    </cfRule>
  </conditionalFormatting>
  <conditionalFormatting sqref="F16:AI21">
    <cfRule type="expression" dxfId="66" priority="13" stopIfTrue="1">
      <formula>IF(WEEKDAY(F$5)=1,TRUE,FALSE)</formula>
    </cfRule>
  </conditionalFormatting>
  <conditionalFormatting sqref="F16:AI21">
    <cfRule type="expression" dxfId="65" priority="12" stopIfTrue="1">
      <formula>IF(WEEKDAY(F$5)=1,TRUE,FALSE)</formula>
    </cfRule>
  </conditionalFormatting>
  <conditionalFormatting sqref="AJ26:AJ27">
    <cfRule type="expression" dxfId="64" priority="9" stopIfTrue="1">
      <formula>IF(WEEKDAY(AJ$5)=1,TRUE,FALSE)</formula>
    </cfRule>
  </conditionalFormatting>
  <conditionalFormatting sqref="AJ26:AJ27">
    <cfRule type="expression" dxfId="63" priority="8" stopIfTrue="1">
      <formula>IF(WEEKDAY(AJ$5)=1,TRUE,FALSE)</formula>
    </cfRule>
  </conditionalFormatting>
  <conditionalFormatting sqref="AJ26:AJ27">
    <cfRule type="expression" dxfId="62" priority="7" stopIfTrue="1">
      <formula>IF(WEEKDAY(AJ$5)=1,TRUE,FALSE)</formula>
    </cfRule>
  </conditionalFormatting>
  <conditionalFormatting sqref="AJ26:AJ27">
    <cfRule type="expression" dxfId="61" priority="6" stopIfTrue="1">
      <formula>IF(WEEKDAY(AJ$5)=1,TRUE,FALSE)</formula>
    </cfRule>
  </conditionalFormatting>
  <conditionalFormatting sqref="AJ26:AJ27">
    <cfRule type="expression" dxfId="60" priority="5" stopIfTrue="1">
      <formula>IF(WEEKDAY(AJ$5)=1,TRUE,FALSE)</formula>
    </cfRule>
  </conditionalFormatting>
  <conditionalFormatting sqref="AJ26:AJ27">
    <cfRule type="expression" dxfId="59" priority="4" stopIfTrue="1">
      <formula>IF(WEEKDAY(AJ$5)=1,TRUE,FALSE)</formula>
    </cfRule>
  </conditionalFormatting>
  <conditionalFormatting sqref="AJ26:AJ27">
    <cfRule type="expression" dxfId="58" priority="3" stopIfTrue="1">
      <formula>IF(WEEKDAY(AJ$5)=1,TRUE,FALSE)</formula>
    </cfRule>
  </conditionalFormatting>
  <conditionalFormatting sqref="F26:AI27">
    <cfRule type="expression" dxfId="57" priority="2" stopIfTrue="1">
      <formula>IF(WEEKDAY(F$5)=1,TRUE,FALSE)</formula>
    </cfRule>
  </conditionalFormatting>
  <conditionalFormatting sqref="F26:AI27">
    <cfRule type="expression" dxfId="5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4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4"/>
      <c r="C1" s="194"/>
      <c r="D1" s="272" t="str">
        <f>"BẢNG THANH TOÁN LƯƠNG THÁNG"&amp;" "&amp;TEXT($E$4,"mm")&amp;" / "&amp;TEXT($E$4,"yyyy")</f>
        <v>BẢNG THANH TOÁN LƯƠNG THÁNG 06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4"/>
      <c r="C2" s="194"/>
      <c r="D2" s="194"/>
      <c r="E2" s="81"/>
      <c r="F2" s="194"/>
      <c r="G2" s="194"/>
      <c r="H2" s="194"/>
      <c r="I2" s="194"/>
      <c r="J2" s="82"/>
      <c r="K2" s="194"/>
      <c r="L2" s="194"/>
      <c r="M2" s="194"/>
      <c r="N2" s="194"/>
      <c r="O2" s="194"/>
      <c r="P2" s="194"/>
      <c r="Q2" s="194"/>
      <c r="R2" s="194"/>
      <c r="S2" s="194"/>
      <c r="T2" s="59"/>
      <c r="U2" s="80">
        <f>MAX(F10:F24)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4"/>
      <c r="C3" s="194"/>
      <c r="D3" s="194"/>
      <c r="E3" s="81"/>
      <c r="F3" s="194"/>
      <c r="G3" s="194"/>
      <c r="H3" s="194"/>
      <c r="I3" s="194"/>
      <c r="J3" s="82"/>
      <c r="K3" s="194"/>
      <c r="L3" s="194"/>
      <c r="M3" s="194"/>
      <c r="N3" s="194"/>
      <c r="O3" s="194"/>
      <c r="P3" s="194"/>
      <c r="Q3" s="194"/>
      <c r="R3" s="194"/>
      <c r="S3" s="19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-6'!$E$4</f>
        <v>42522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195" t="s">
        <v>40</v>
      </c>
      <c r="G7" s="192" t="s">
        <v>18</v>
      </c>
      <c r="H7" s="195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1" si="0">VLOOKUP(B10,DS,2,0)</f>
        <v>Nguyễn Thị Thu Sương</v>
      </c>
      <c r="D10" s="116" t="str">
        <f t="shared" ref="D10:D11" si="1">VLOOKUP(B10,DS,3,0)</f>
        <v>Kinh Doanh</v>
      </c>
      <c r="E10" s="90">
        <f t="shared" ref="E10:E11" si="2">VLOOKUP(B10,DS,4,0)</f>
        <v>5200000</v>
      </c>
      <c r="F10" s="92">
        <f>VLOOKUP(B10,'CC -6'!$B$8:$AS$29,36,0)</f>
        <v>26</v>
      </c>
      <c r="G10" s="145">
        <f t="shared" ref="G10:G11" si="3">ROUND(E10/$U$2*F10,0)</f>
        <v>5200000</v>
      </c>
      <c r="H10" s="92">
        <f>(VLOOKUP(B10,'CC -6'!$B$8:$AS$29,37,0)+VLOOKUP(B10,'CC -6'!$B$8:$AS$29,38,0))</f>
        <v>0</v>
      </c>
      <c r="I10" s="145">
        <f t="shared" ref="I10:I11" si="4">ROUND(E10/$U$2*H10,0)</f>
        <v>0</v>
      </c>
      <c r="J10" s="93">
        <f t="shared" ref="J10:J11" si="5">F10+H10</f>
        <v>26</v>
      </c>
      <c r="K10" s="39">
        <f>G10+I10</f>
        <v>5200000</v>
      </c>
      <c r="L10" s="90">
        <f t="shared" ref="L10:L11" si="6">+F10*15000</f>
        <v>390000</v>
      </c>
      <c r="M10" s="40">
        <f t="shared" ref="M10:M11" si="7">K10+L10</f>
        <v>5590000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5590000</v>
      </c>
      <c r="R10" s="39">
        <f>VLOOKUP(B10,DS,23,0)</f>
        <v>0</v>
      </c>
      <c r="S10" s="45">
        <f t="shared" ref="S10:S11" si="9">Q10-R10</f>
        <v>5590000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si="0"/>
        <v>Trần Anh Nhựt</v>
      </c>
      <c r="D11" s="116" t="str">
        <f t="shared" si="1"/>
        <v>Thiết Kế</v>
      </c>
      <c r="E11" s="90">
        <f t="shared" si="2"/>
        <v>5200000</v>
      </c>
      <c r="F11" s="92">
        <f>VLOOKUP(B11,'CC -6'!$B$8:$AS$29,36,0)</f>
        <v>26</v>
      </c>
      <c r="G11" s="145">
        <f t="shared" si="3"/>
        <v>5200000</v>
      </c>
      <c r="H11" s="92">
        <f>(VLOOKUP(B11,'CC -6'!$B$8:$AS$29,37,0)+VLOOKUP(B11,'CC -6'!$B$8:$AS$29,38,0))</f>
        <v>0</v>
      </c>
      <c r="I11" s="145">
        <f t="shared" si="4"/>
        <v>0</v>
      </c>
      <c r="J11" s="93">
        <f t="shared" si="5"/>
        <v>26</v>
      </c>
      <c r="K11" s="39">
        <f t="shared" ref="K11" si="10">G11+I11</f>
        <v>5200000</v>
      </c>
      <c r="L11" s="90">
        <f t="shared" si="6"/>
        <v>390000</v>
      </c>
      <c r="M11" s="40">
        <f t="shared" si="7"/>
        <v>5590000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5590000</v>
      </c>
      <c r="R11" s="39">
        <f>VLOOKUP(B11,DS,23,0)</f>
        <v>0</v>
      </c>
      <c r="S11" s="45">
        <f t="shared" si="9"/>
        <v>5590000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ref="C12" si="11">VLOOKUP(B12,DS,2,0)</f>
        <v>Huỳnh Minh Toàn</v>
      </c>
      <c r="D12" s="116" t="str">
        <f t="shared" ref="D12" si="12">VLOOKUP(B12,DS,3,0)</f>
        <v>Thủ Kho</v>
      </c>
      <c r="E12" s="90">
        <f t="shared" ref="E12" si="13">VLOOKUP(B12,DS,4,0)</f>
        <v>5700000</v>
      </c>
      <c r="F12" s="92">
        <f>VLOOKUP(B12,'CC -6'!$B$8:$AS$29,36,0)</f>
        <v>26</v>
      </c>
      <c r="G12" s="145">
        <f t="shared" ref="G12" si="14">ROUND(E12/$U$2*F12,0)</f>
        <v>5700000</v>
      </c>
      <c r="H12" s="92">
        <f>(VLOOKUP(B12,'CC -6'!$B$8:$AS$29,37,0)+VLOOKUP(B12,'CC -6'!$B$8:$AS$29,38,0))</f>
        <v>0</v>
      </c>
      <c r="I12" s="145">
        <f t="shared" ref="I12" si="15">ROUND(E12/$U$2*H12,0)</f>
        <v>0</v>
      </c>
      <c r="J12" s="93">
        <f t="shared" ref="J12" si="16">F12+H12</f>
        <v>26</v>
      </c>
      <c r="K12" s="39">
        <f t="shared" ref="K12" si="17">G12+I12</f>
        <v>5700000</v>
      </c>
      <c r="L12" s="90">
        <f t="shared" ref="L12" si="18">+F12*15000</f>
        <v>390000</v>
      </c>
      <c r="M12" s="40">
        <f t="shared" ref="M12" si="19">K12+L12</f>
        <v>6090000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20">M12-SUM(N12:P12)</f>
        <v>6090000</v>
      </c>
      <c r="R12" s="39">
        <f>VLOOKUP(B12,DS,23,0)</f>
        <v>0</v>
      </c>
      <c r="S12" s="45">
        <f t="shared" ref="S12" si="21">Q12-R12</f>
        <v>6090000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2">SUM(K9:K12)</f>
        <v>16100000</v>
      </c>
      <c r="L14" s="140">
        <f t="shared" si="22"/>
        <v>1170000</v>
      </c>
      <c r="M14" s="140">
        <f t="shared" si="22"/>
        <v>17270000</v>
      </c>
      <c r="N14" s="140">
        <f t="shared" si="22"/>
        <v>0</v>
      </c>
      <c r="O14" s="140">
        <f t="shared" si="22"/>
        <v>0</v>
      </c>
      <c r="P14" s="140">
        <f t="shared" si="22"/>
        <v>0</v>
      </c>
      <c r="Q14" s="140">
        <f t="shared" si="22"/>
        <v>17270000</v>
      </c>
      <c r="R14" s="140">
        <f t="shared" si="22"/>
        <v>0</v>
      </c>
      <c r="S14" s="140">
        <f t="shared" si="22"/>
        <v>17270000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19" si="23">VLOOKUP(B16,DS,2,0)</f>
        <v>Nguyễn Trường Giang</v>
      </c>
      <c r="D16" s="116" t="str">
        <f t="shared" ref="D16:D19" si="24">VLOOKUP(B16,DS,3,0)</f>
        <v>Thợ in</v>
      </c>
      <c r="E16" s="90">
        <f t="shared" ref="E16:E19" si="25">VLOOKUP(B16,DS,4,0)</f>
        <v>5200000</v>
      </c>
      <c r="F16" s="92">
        <f>VLOOKUP(B16,'CC -6'!$B$8:$AS$29,36,0)</f>
        <v>26</v>
      </c>
      <c r="G16" s="145">
        <f t="shared" ref="G16:G19" si="26">ROUND(E16/$U$2*F16,0)</f>
        <v>5200000</v>
      </c>
      <c r="H16" s="92">
        <f>(VLOOKUP(B16,'CC -6'!$B$8:$AS$29,37,0)+VLOOKUP(B16,'CC -6'!$B$8:$AS$29,38,0))</f>
        <v>0</v>
      </c>
      <c r="I16" s="145">
        <f t="shared" ref="I16:I19" si="27">ROUND(E16/$U$2*H16,0)</f>
        <v>0</v>
      </c>
      <c r="J16" s="146">
        <f t="shared" ref="J16:K19" si="28">F16+H16</f>
        <v>26</v>
      </c>
      <c r="K16" s="39">
        <f t="shared" si="28"/>
        <v>5200000</v>
      </c>
      <c r="L16" s="90">
        <f t="shared" ref="L16:L19" si="29">+F16*15000</f>
        <v>390000</v>
      </c>
      <c r="M16" s="40">
        <f t="shared" ref="M16:M19" si="30">K16+L16</f>
        <v>5590000</v>
      </c>
      <c r="N16" s="40">
        <f>IF(VLOOKUP(B16,DS,9,0)="x",'L - 6'!E16*$N$4,0)</f>
        <v>0</v>
      </c>
      <c r="O16" s="40">
        <f t="shared" ref="O16:O19" si="31">IF(VLOOKUP(B16,DS,9,0)="x",E16*0.015,0)</f>
        <v>0</v>
      </c>
      <c r="P16" s="40">
        <f t="shared" ref="P16:P19" si="32">IF(VLOOKUP(B16,DS,9,0)="x",E16*0.01,0)</f>
        <v>0</v>
      </c>
      <c r="Q16" s="39">
        <f>M16-SUM(N16:P16)</f>
        <v>5590000</v>
      </c>
      <c r="R16" s="39">
        <f t="shared" ref="R16:R19" si="33">VLOOKUP(B16,DS,23,0)</f>
        <v>0</v>
      </c>
      <c r="S16" s="45">
        <f>Q16-R16</f>
        <v>5590000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" si="34">VLOOKUP(B17,DS,2,0)</f>
        <v>Võ Văn Kiệt</v>
      </c>
      <c r="D17" s="116" t="str">
        <f t="shared" ref="D17" si="35">VLOOKUP(B17,DS,3,0)</f>
        <v>Công Đoạn 1</v>
      </c>
      <c r="E17" s="90">
        <f t="shared" ref="E17" si="36">VLOOKUP(B17,DS,4,0)</f>
        <v>5200000</v>
      </c>
      <c r="F17" s="92">
        <f>VLOOKUP(B17,'CC -6'!$B$8:$AS$29,36,0)</f>
        <v>26</v>
      </c>
      <c r="G17" s="145">
        <f t="shared" ref="G17" si="37">ROUND(E17/$U$2*F17,0)</f>
        <v>5200000</v>
      </c>
      <c r="H17" s="92">
        <f>(VLOOKUP(B17,'CC -6'!$B$8:$AS$29,37,0)+VLOOKUP(B17,'CC -6'!$B$8:$AS$29,38,0))</f>
        <v>0</v>
      </c>
      <c r="I17" s="145">
        <f t="shared" ref="I17" si="38">ROUND(E17/$U$2*H17,0)</f>
        <v>0</v>
      </c>
      <c r="J17" s="146">
        <f t="shared" ref="J17" si="39">F17+H17</f>
        <v>26</v>
      </c>
      <c r="K17" s="39">
        <f t="shared" ref="K17" si="40">G17+I17</f>
        <v>5200000</v>
      </c>
      <c r="L17" s="90">
        <f t="shared" ref="L17" si="41">+F17*15000</f>
        <v>390000</v>
      </c>
      <c r="M17" s="40">
        <f t="shared" ref="M17" si="42">K17+L17</f>
        <v>5590000</v>
      </c>
      <c r="N17" s="40">
        <f>IF(VLOOKUP(B17,DS,9,0)="x",'L - 6'!E17*$N$4,0)</f>
        <v>0</v>
      </c>
      <c r="O17" s="40">
        <f t="shared" ref="O17" si="43">IF(VLOOKUP(B17,DS,9,0)="x",E17*0.015,0)</f>
        <v>0</v>
      </c>
      <c r="P17" s="40">
        <f t="shared" ref="P17" si="44">IF(VLOOKUP(B17,DS,9,0)="x",E17*0.01,0)</f>
        <v>0</v>
      </c>
      <c r="Q17" s="39">
        <f t="shared" ref="Q17" si="45">M17-SUM(N17:P17)</f>
        <v>5590000</v>
      </c>
      <c r="R17" s="39">
        <f t="shared" ref="R17" si="46">VLOOKUP(B17,DS,23,0)</f>
        <v>0</v>
      </c>
      <c r="S17" s="45">
        <f t="shared" ref="S17" si="47">Q17-R17</f>
        <v>5590000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23"/>
        <v>Diệp Văn Lân</v>
      </c>
      <c r="D18" s="116" t="str">
        <f t="shared" si="24"/>
        <v>Công Đoạn 1</v>
      </c>
      <c r="E18" s="90">
        <f t="shared" si="25"/>
        <v>4500000</v>
      </c>
      <c r="F18" s="92">
        <f>VLOOKUP(B18,'CC -6'!$B$8:$AS$29,36,0)</f>
        <v>26</v>
      </c>
      <c r="G18" s="145">
        <f t="shared" si="26"/>
        <v>4500000</v>
      </c>
      <c r="H18" s="92">
        <f>(VLOOKUP(B18,'CC -6'!$B$8:$AS$29,37,0)+VLOOKUP(B18,'CC -6'!$B$8:$AS$29,38,0))</f>
        <v>0</v>
      </c>
      <c r="I18" s="145">
        <f t="shared" si="27"/>
        <v>0</v>
      </c>
      <c r="J18" s="146">
        <f t="shared" si="28"/>
        <v>26</v>
      </c>
      <c r="K18" s="39">
        <f t="shared" si="28"/>
        <v>4500000</v>
      </c>
      <c r="L18" s="90">
        <f t="shared" si="29"/>
        <v>390000</v>
      </c>
      <c r="M18" s="40">
        <f t="shared" si="30"/>
        <v>4890000</v>
      </c>
      <c r="N18" s="40">
        <f>IF(VLOOKUP(B18,DS,9,0)="x",'L - 6'!E18*$N$4,0)</f>
        <v>0</v>
      </c>
      <c r="O18" s="40">
        <f t="shared" si="31"/>
        <v>0</v>
      </c>
      <c r="P18" s="40">
        <f t="shared" si="32"/>
        <v>0</v>
      </c>
      <c r="Q18" s="39">
        <f t="shared" ref="Q18:Q19" si="48">M18-SUM(N18:P18)</f>
        <v>4890000</v>
      </c>
      <c r="R18" s="39">
        <f t="shared" si="33"/>
        <v>0</v>
      </c>
      <c r="S18" s="45">
        <f t="shared" ref="S18:S19" si="49">Q18-R18</f>
        <v>4890000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23"/>
        <v>Dương Thế Kiệt</v>
      </c>
      <c r="D19" s="116" t="str">
        <f t="shared" si="24"/>
        <v>Công Đoạn 1</v>
      </c>
      <c r="E19" s="90">
        <f t="shared" si="25"/>
        <v>4500000</v>
      </c>
      <c r="F19" s="92">
        <f>VLOOKUP(B19,'CC -6'!$B$8:$AS$29,36,0)</f>
        <v>26</v>
      </c>
      <c r="G19" s="145">
        <f t="shared" si="26"/>
        <v>4500000</v>
      </c>
      <c r="H19" s="92">
        <f>(VLOOKUP(B19,'CC -6'!$B$8:$AS$29,37,0)+VLOOKUP(B19,'CC -6'!$B$8:$AS$29,38,0))</f>
        <v>0</v>
      </c>
      <c r="I19" s="145">
        <f t="shared" si="27"/>
        <v>0</v>
      </c>
      <c r="J19" s="146">
        <f t="shared" si="28"/>
        <v>26</v>
      </c>
      <c r="K19" s="39">
        <f t="shared" si="28"/>
        <v>4500000</v>
      </c>
      <c r="L19" s="90">
        <f t="shared" si="29"/>
        <v>390000</v>
      </c>
      <c r="M19" s="40">
        <f t="shared" si="30"/>
        <v>4890000</v>
      </c>
      <c r="N19" s="40">
        <f>IF(VLOOKUP(B19,DS,9,0)="x",'L - 6'!E19*$N$4,0)</f>
        <v>0</v>
      </c>
      <c r="O19" s="40">
        <f t="shared" si="31"/>
        <v>0</v>
      </c>
      <c r="P19" s="40">
        <f t="shared" si="32"/>
        <v>0</v>
      </c>
      <c r="Q19" s="39">
        <f t="shared" si="48"/>
        <v>4890000</v>
      </c>
      <c r="R19" s="39">
        <f t="shared" si="33"/>
        <v>0</v>
      </c>
      <c r="S19" s="45">
        <f t="shared" si="49"/>
        <v>4890000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ref="C20:C22" si="50">VLOOKUP(B20,DS,2,0)</f>
        <v>Lê Văn Hữu</v>
      </c>
      <c r="D20" s="116" t="str">
        <f t="shared" ref="D20:D22" si="51">VLOOKUP(B20,DS,3,0)</f>
        <v>Công Đoạn 2</v>
      </c>
      <c r="E20" s="90">
        <f t="shared" ref="E20:E22" si="52">VLOOKUP(B20,DS,4,0)</f>
        <v>5200000</v>
      </c>
      <c r="F20" s="92">
        <f>VLOOKUP(B20,'CC -6'!$B$8:$AS$29,36,0)</f>
        <v>26</v>
      </c>
      <c r="G20" s="145">
        <f t="shared" ref="G20:G22" si="53">ROUND(E20/$U$2*F20,0)</f>
        <v>5200000</v>
      </c>
      <c r="H20" s="92">
        <f>(VLOOKUP(B20,'CC -6'!$B$8:$AS$29,37,0)+VLOOKUP(B20,'CC -6'!$B$8:$AS$29,38,0))</f>
        <v>0</v>
      </c>
      <c r="I20" s="145">
        <f t="shared" ref="I20:I22" si="54">ROUND(E20/$U$2*H20,0)</f>
        <v>0</v>
      </c>
      <c r="J20" s="146">
        <f t="shared" ref="J20:J22" si="55">F20+H20</f>
        <v>26</v>
      </c>
      <c r="K20" s="39">
        <f t="shared" ref="K20:K22" si="56">G20+I20</f>
        <v>5200000</v>
      </c>
      <c r="L20" s="90">
        <f t="shared" ref="L20:L22" si="57">+F20*15000</f>
        <v>390000</v>
      </c>
      <c r="M20" s="40">
        <f t="shared" ref="M20:M22" si="58">K20+L20</f>
        <v>5590000</v>
      </c>
      <c r="N20" s="40">
        <f>IF(VLOOKUP(B20,DS,9,0)="x",'L - 6'!E20*$N$4,0)</f>
        <v>0</v>
      </c>
      <c r="O20" s="40">
        <f t="shared" ref="O20:O22" si="59">IF(VLOOKUP(B20,DS,9,0)="x",E20*0.015,0)</f>
        <v>0</v>
      </c>
      <c r="P20" s="40">
        <f t="shared" ref="P20:P22" si="60">IF(VLOOKUP(B20,DS,9,0)="x",E20*0.01,0)</f>
        <v>0</v>
      </c>
      <c r="Q20" s="39">
        <f t="shared" ref="Q20:Q22" si="61">M20-SUM(N20:P20)</f>
        <v>5590000</v>
      </c>
      <c r="R20" s="39">
        <f t="shared" ref="R20:R22" si="62">VLOOKUP(B20,DS,23,0)</f>
        <v>0</v>
      </c>
      <c r="S20" s="45">
        <f t="shared" ref="S20:S22" si="63">Q20-R20</f>
        <v>5590000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" si="64">VLOOKUP(B21,DS,2,0)</f>
        <v>Bùi Trường Giang</v>
      </c>
      <c r="D21" s="116" t="str">
        <f t="shared" ref="D21" si="65">VLOOKUP(B21,DS,3,0)</f>
        <v>Công Đoạn 2</v>
      </c>
      <c r="E21" s="90">
        <f t="shared" ref="E21" si="66">VLOOKUP(B21,DS,4,0)</f>
        <v>4500000</v>
      </c>
      <c r="F21" s="92">
        <f>VLOOKUP(B21,'CC -6'!$B$8:$AS$29,36,0)</f>
        <v>26</v>
      </c>
      <c r="G21" s="145">
        <f t="shared" ref="G21" si="67">ROUND(E21/$U$2*F21,0)</f>
        <v>4500000</v>
      </c>
      <c r="H21" s="92">
        <f>(VLOOKUP(B21,'CC -6'!$B$8:$AS$29,37,0)+VLOOKUP(B21,'CC -6'!$B$8:$AS$29,38,0))</f>
        <v>0</v>
      </c>
      <c r="I21" s="145">
        <f t="shared" ref="I21" si="68">ROUND(E21/$U$2*H21,0)</f>
        <v>0</v>
      </c>
      <c r="J21" s="146">
        <f t="shared" ref="J21" si="69">F21+H21</f>
        <v>26</v>
      </c>
      <c r="K21" s="39">
        <f t="shared" ref="K21" si="70">G21+I21</f>
        <v>4500000</v>
      </c>
      <c r="L21" s="90">
        <f t="shared" ref="L21" si="71">+F21*15000</f>
        <v>390000</v>
      </c>
      <c r="M21" s="40">
        <f t="shared" ref="M21" si="72">K21+L21</f>
        <v>4890000</v>
      </c>
      <c r="N21" s="40">
        <f>IF(VLOOKUP(B21,DS,9,0)="x",'L - 6'!E21*$N$4,0)</f>
        <v>0</v>
      </c>
      <c r="O21" s="40">
        <f t="shared" ref="O21" si="73">IF(VLOOKUP(B21,DS,9,0)="x",E21*0.015,0)</f>
        <v>0</v>
      </c>
      <c r="P21" s="40">
        <f t="shared" ref="P21" si="74">IF(VLOOKUP(B21,DS,9,0)="x",E21*0.01,0)</f>
        <v>0</v>
      </c>
      <c r="Q21" s="39">
        <f t="shared" ref="Q21" si="75">M21-SUM(N21:P21)</f>
        <v>4890000</v>
      </c>
      <c r="R21" s="39">
        <f t="shared" ref="R21" si="76">VLOOKUP(B21,DS,23,0)</f>
        <v>0</v>
      </c>
      <c r="S21" s="45">
        <f t="shared" ref="S21" si="77">Q21-R21</f>
        <v>4890000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50"/>
        <v>Nguyễn T Bích Thủy</v>
      </c>
      <c r="D22" s="116" t="str">
        <f t="shared" si="51"/>
        <v>Công Đoạn 2</v>
      </c>
      <c r="E22" s="90">
        <f t="shared" si="52"/>
        <v>4500000</v>
      </c>
      <c r="F22" s="92">
        <f>VLOOKUP(B22,'CC -6'!$B$8:$AS$29,36,0)</f>
        <v>26</v>
      </c>
      <c r="G22" s="145">
        <f t="shared" si="53"/>
        <v>4500000</v>
      </c>
      <c r="H22" s="92">
        <f>(VLOOKUP(B22,'CC -6'!$B$8:$AS$29,37,0)+VLOOKUP(B22,'CC -6'!$B$8:$AS$29,38,0))</f>
        <v>0</v>
      </c>
      <c r="I22" s="145">
        <f t="shared" si="54"/>
        <v>0</v>
      </c>
      <c r="J22" s="146">
        <f t="shared" si="55"/>
        <v>26</v>
      </c>
      <c r="K22" s="39">
        <f t="shared" si="56"/>
        <v>4500000</v>
      </c>
      <c r="L22" s="90">
        <f t="shared" si="57"/>
        <v>390000</v>
      </c>
      <c r="M22" s="40">
        <f t="shared" si="58"/>
        <v>4890000</v>
      </c>
      <c r="N22" s="40">
        <f>IF(VLOOKUP(B22,DS,9,0)="x",'L - 6'!E22*$N$4,0)</f>
        <v>0</v>
      </c>
      <c r="O22" s="40">
        <f t="shared" si="59"/>
        <v>0</v>
      </c>
      <c r="P22" s="40">
        <f t="shared" si="60"/>
        <v>0</v>
      </c>
      <c r="Q22" s="39">
        <f t="shared" si="61"/>
        <v>4890000</v>
      </c>
      <c r="R22" s="39">
        <f t="shared" si="62"/>
        <v>0</v>
      </c>
      <c r="S22" s="45">
        <f t="shared" si="63"/>
        <v>4890000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78">SUM(K15:K23)</f>
        <v>33600000</v>
      </c>
      <c r="L24" s="140">
        <f t="shared" si="78"/>
        <v>2730000</v>
      </c>
      <c r="M24" s="140">
        <f t="shared" si="78"/>
        <v>36330000</v>
      </c>
      <c r="N24" s="140">
        <f t="shared" si="78"/>
        <v>0</v>
      </c>
      <c r="O24" s="140">
        <f t="shared" si="78"/>
        <v>0</v>
      </c>
      <c r="P24" s="140">
        <f t="shared" si="78"/>
        <v>0</v>
      </c>
      <c r="Q24" s="140">
        <f t="shared" si="78"/>
        <v>36330000</v>
      </c>
      <c r="R24" s="140">
        <f t="shared" si="78"/>
        <v>0</v>
      </c>
      <c r="S24" s="140">
        <f t="shared" si="78"/>
        <v>36330000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06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24:D2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4:D14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tabSelected="1" zoomScaleNormal="115" workbookViewId="0">
      <pane xSplit="3" ySplit="6" topLeftCell="D13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16" sqref="F16:AJ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42552</v>
      </c>
      <c r="G5" s="118">
        <f t="shared" ref="G5:AJ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 t="shared" si="0"/>
        <v>42581</v>
      </c>
      <c r="AJ5" s="118">
        <f t="shared" si="0"/>
        <v>42582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172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26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26</v>
      </c>
      <c r="AO13" s="250">
        <v>0</v>
      </c>
      <c r="AP13" s="248"/>
      <c r="AQ13" s="248"/>
      <c r="AR13" s="248"/>
      <c r="AS13" s="258"/>
      <c r="AT13" s="20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20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26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26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26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>
        <v>8</v>
      </c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/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/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/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44">
        <f t="shared" ref="AK22" si="17">((SUM(F22:AJ22))/8)-(SUMIF($F$6:$AJ$6,"C.Nhật",F22:AJ22)/8)</f>
        <v>26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 t="shared" ref="AN22" si="19">SUM(AK22:AM23)</f>
        <v>26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>
        <v>8</v>
      </c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/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/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/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44">
        <f t="shared" ref="AK24" si="20">((SUM(F24:AJ24))/8)-(SUMIF($F$6:$AJ$6,"C.Nhật",F24:AJ24)/8)</f>
        <v>26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26</v>
      </c>
      <c r="AO24" s="250">
        <v>0</v>
      </c>
      <c r="AP24" s="248"/>
      <c r="AQ24" s="248"/>
      <c r="AR24" s="248"/>
      <c r="AS24" s="258"/>
      <c r="AT24" s="22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>
        <v>8</v>
      </c>
      <c r="H26" s="143"/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/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/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/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/>
      <c r="AK26" s="244">
        <f t="shared" ref="AK26" si="23">((SUM(F26:AJ26))/8)-(SUMIF($F$6:$AJ$6,"C.Nhật",F26:AJ26)/8)</f>
        <v>26</v>
      </c>
      <c r="AL26" s="244">
        <f t="shared" ref="AL26" si="24">SUM(F27:AJ27)/8*1.5</f>
        <v>0</v>
      </c>
      <c r="AM26" s="246">
        <f>SUMIF($F$6:$AJ$6,"C.Nhật",$F26:$AJ27)/8*2</f>
        <v>0</v>
      </c>
      <c r="AN26" s="248">
        <f t="shared" ref="AN26" si="25">SUM(AK26:AM27)</f>
        <v>26</v>
      </c>
      <c r="AO26" s="250">
        <v>0</v>
      </c>
      <c r="AP26" s="248"/>
      <c r="AQ26" s="248"/>
      <c r="AR26" s="248"/>
      <c r="AS26" s="258"/>
      <c r="AT26" s="22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>
        <v>8</v>
      </c>
      <c r="H28" s="143"/>
      <c r="I28" s="143">
        <v>8</v>
      </c>
      <c r="J28" s="143">
        <v>8</v>
      </c>
      <c r="K28" s="143">
        <v>8</v>
      </c>
      <c r="L28" s="143">
        <v>8</v>
      </c>
      <c r="M28" s="143">
        <v>8</v>
      </c>
      <c r="N28" s="143">
        <v>8</v>
      </c>
      <c r="O28" s="143"/>
      <c r="P28" s="143">
        <v>8</v>
      </c>
      <c r="Q28" s="143">
        <v>8</v>
      </c>
      <c r="R28" s="143">
        <v>8</v>
      </c>
      <c r="S28" s="143">
        <v>8</v>
      </c>
      <c r="T28" s="143">
        <v>8</v>
      </c>
      <c r="U28" s="143">
        <v>8</v>
      </c>
      <c r="V28" s="143"/>
      <c r="W28" s="143">
        <v>8</v>
      </c>
      <c r="X28" s="143">
        <v>8</v>
      </c>
      <c r="Y28" s="143">
        <v>8</v>
      </c>
      <c r="Z28" s="143">
        <v>8</v>
      </c>
      <c r="AA28" s="143">
        <v>8</v>
      </c>
      <c r="AB28" s="143">
        <v>8</v>
      </c>
      <c r="AC28" s="143"/>
      <c r="AD28" s="143">
        <v>8</v>
      </c>
      <c r="AE28" s="143">
        <v>8</v>
      </c>
      <c r="AF28" s="143">
        <v>8</v>
      </c>
      <c r="AG28" s="143">
        <v>8</v>
      </c>
      <c r="AH28" s="143">
        <v>8</v>
      </c>
      <c r="AI28" s="143">
        <v>8</v>
      </c>
      <c r="AJ28" s="143"/>
      <c r="AK28" s="244">
        <f t="shared" ref="AK28" si="26">((SUM(F28:AJ28))/8)-(SUMIF($F$6:$AJ$6,"C.Nhật",F28:AJ28)/8)</f>
        <v>26</v>
      </c>
      <c r="AL28" s="244">
        <f t="shared" ref="AL28" si="27">SUM(F29:AJ29)/8*1.5</f>
        <v>0</v>
      </c>
      <c r="AM28" s="246">
        <f>SUMIF($F$6:$AJ$6,"C.Nhật",$F28:$AJ29)/8*2</f>
        <v>0</v>
      </c>
      <c r="AN28" s="248">
        <f t="shared" ref="AN28" si="28">SUM(AK28:AM29)</f>
        <v>26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46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46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46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46" s="73" customFormat="1" ht="12.75">
      <c r="A37" s="2"/>
      <c r="B37" s="2" t="s">
        <v>0</v>
      </c>
      <c r="C37" s="2"/>
      <c r="D37" s="198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46" s="73" customFormat="1" ht="12.75">
      <c r="A38" s="2"/>
      <c r="B38" s="2"/>
      <c r="C38" s="2" t="s">
        <v>46</v>
      </c>
      <c r="D38" s="198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C26:C27"/>
    <mergeCell ref="AP16:AP17"/>
    <mergeCell ref="AQ16:AQ17"/>
    <mergeCell ref="AR16:AR17"/>
    <mergeCell ref="AS16:AS1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O26:AO27"/>
    <mergeCell ref="AP26:AP27"/>
    <mergeCell ref="A26:A27"/>
    <mergeCell ref="B26:B27"/>
    <mergeCell ref="D26:D27"/>
    <mergeCell ref="AK26:AK27"/>
    <mergeCell ref="AL26:AL27"/>
    <mergeCell ref="AM26:AM27"/>
    <mergeCell ref="AN26:AN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3:AP14"/>
    <mergeCell ref="AQ13:AQ14"/>
    <mergeCell ref="AR13:AR14"/>
    <mergeCell ref="AS13:AS14"/>
    <mergeCell ref="AL13:AL14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S20:AS21"/>
    <mergeCell ref="AN20:AN21"/>
    <mergeCell ref="AO20:AO21"/>
    <mergeCell ref="AP20:AP21"/>
    <mergeCell ref="AQ20:AQ21"/>
    <mergeCell ref="AR20:AR21"/>
    <mergeCell ref="A20:A21"/>
    <mergeCell ref="B20:B21"/>
    <mergeCell ref="C20:C21"/>
    <mergeCell ref="D20:D21"/>
    <mergeCell ref="AK20:AK21"/>
  </mergeCells>
  <conditionalFormatting sqref="F5:AJ6 F9:AJ14">
    <cfRule type="expression" dxfId="55" priority="40" stopIfTrue="1">
      <formula>IF(WEEKDAY(F$5)=1,TRUE,FALSE)</formula>
    </cfRule>
  </conditionalFormatting>
  <conditionalFormatting sqref="F9:AJ14">
    <cfRule type="expression" dxfId="54" priority="39" stopIfTrue="1">
      <formula>IF(WEEKDAY(F$5)=1,TRUE,FALSE)</formula>
    </cfRule>
  </conditionalFormatting>
  <conditionalFormatting sqref="F16:AJ29">
    <cfRule type="expression" dxfId="53" priority="2" stopIfTrue="1">
      <formula>IF(WEEKDAY(F$5)=1,TRUE,FALSE)</formula>
    </cfRule>
  </conditionalFormatting>
  <conditionalFormatting sqref="F16:AJ29">
    <cfRule type="expression" dxfId="5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2" t="str">
        <f>"BẢNG THANH TOÁN LƯƠNG THÁNG"&amp;" "&amp;TEXT($E$4,"mm")&amp;" / "&amp;TEXT($E$4,"yyyy")</f>
        <v>BẢNG THANH TOÁN LƯƠNG THÁNG 07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MAX(F10:F24)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-7'!$E$4</f>
        <v>42552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01" t="s">
        <v>40</v>
      </c>
      <c r="G7" s="199" t="s">
        <v>18</v>
      </c>
      <c r="H7" s="201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Nguyễn Thị Thu Sương</v>
      </c>
      <c r="D10" s="116" t="str">
        <f t="shared" ref="D10:D12" si="1">VLOOKUP(B10,DS,3,0)</f>
        <v>Kinh Doanh</v>
      </c>
      <c r="E10" s="90">
        <f t="shared" ref="E10:E12" si="2">VLOOKUP(B10,DS,4,0)</f>
        <v>5200000</v>
      </c>
      <c r="F10" s="92">
        <f>VLOOKUP(B10,'CC -7'!$B$8:$AS$29,36,0)</f>
        <v>26</v>
      </c>
      <c r="G10" s="145">
        <f t="shared" ref="G10:G12" si="3">ROUND(E10/$U$2*F10,0)</f>
        <v>5200000</v>
      </c>
      <c r="H10" s="92">
        <f>(VLOOKUP(B10,'CC -7'!$B$8:$AS$29,37,0)+VLOOKUP(B10,'CC -7'!$B$8:$AS$29,38,0))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5200000</v>
      </c>
      <c r="L10" s="90">
        <f t="shared" ref="L10:L12" si="6">+F10*15000</f>
        <v>390000</v>
      </c>
      <c r="M10" s="40">
        <f t="shared" ref="M10:M12" si="7">K10+L10</f>
        <v>5590000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5590000</v>
      </c>
      <c r="R10" s="39">
        <f>VLOOKUP(B10,DS,23,0)</f>
        <v>0</v>
      </c>
      <c r="S10" s="45">
        <f t="shared" ref="S10:S12" si="9">Q10-R10</f>
        <v>5590000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10">VLOOKUP(B11,DS,2,0)</f>
        <v>Trần Anh Nhựt</v>
      </c>
      <c r="D11" s="116" t="str">
        <f t="shared" ref="D11" si="11">VLOOKUP(B11,DS,3,0)</f>
        <v>Thiết Kế</v>
      </c>
      <c r="E11" s="90">
        <f t="shared" ref="E11" si="12">VLOOKUP(B11,DS,4,0)</f>
        <v>5200000</v>
      </c>
      <c r="F11" s="92">
        <f>VLOOKUP(B11,'CC -7'!$B$8:$AS$29,36,0)</f>
        <v>26</v>
      </c>
      <c r="G11" s="145">
        <f t="shared" ref="G11" si="13">ROUND(E11/$U$2*F11,0)</f>
        <v>5200000</v>
      </c>
      <c r="H11" s="92">
        <f>(VLOOKUP(B11,'CC -7'!$B$8:$AS$29,37,0)+VLOOKUP(B11,'CC -7'!$B$8:$AS$29,38,0))</f>
        <v>0</v>
      </c>
      <c r="I11" s="145">
        <f t="shared" ref="I11" si="14">ROUND(E11/$U$2*H11,0)</f>
        <v>0</v>
      </c>
      <c r="J11" s="93">
        <f t="shared" ref="J11" si="15">F11+H11</f>
        <v>26</v>
      </c>
      <c r="K11" s="39">
        <f t="shared" ref="K11" si="16">G11+I11</f>
        <v>5200000</v>
      </c>
      <c r="L11" s="90">
        <f t="shared" ref="L11" si="17">+F11*15000</f>
        <v>390000</v>
      </c>
      <c r="M11" s="40">
        <f t="shared" ref="M11" si="18">K11+L11</f>
        <v>5590000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5590000</v>
      </c>
      <c r="R11" s="39">
        <f>VLOOKUP(B11,DS,23,0)</f>
        <v>0</v>
      </c>
      <c r="S11" s="45">
        <f t="shared" ref="S11" si="20">Q11-R11</f>
        <v>5590000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0"/>
        <v>Huỳnh Minh Toàn</v>
      </c>
      <c r="D12" s="116" t="str">
        <f t="shared" si="1"/>
        <v>Thủ Kho</v>
      </c>
      <c r="E12" s="90">
        <f t="shared" si="2"/>
        <v>5700000</v>
      </c>
      <c r="F12" s="92">
        <f>VLOOKUP(B12,'CC -7'!$B$8:$AS$29,36,0)</f>
        <v>26</v>
      </c>
      <c r="G12" s="145">
        <f t="shared" si="3"/>
        <v>5700000</v>
      </c>
      <c r="H12" s="92">
        <f>(VLOOKUP(B12,'CC -7'!$B$8:$AS$29,37,0)+VLOOKUP(B12,'CC -7'!$B$8:$AS$29,38,0))</f>
        <v>0</v>
      </c>
      <c r="I12" s="145">
        <f t="shared" si="4"/>
        <v>0</v>
      </c>
      <c r="J12" s="93">
        <f t="shared" si="5"/>
        <v>26</v>
      </c>
      <c r="K12" s="39">
        <f t="shared" si="5"/>
        <v>5700000</v>
      </c>
      <c r="L12" s="90">
        <f t="shared" si="6"/>
        <v>390000</v>
      </c>
      <c r="M12" s="40">
        <f t="shared" si="7"/>
        <v>6090000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6090000</v>
      </c>
      <c r="R12" s="39">
        <f>VLOOKUP(B12,DS,23,0)</f>
        <v>0</v>
      </c>
      <c r="S12" s="45">
        <f t="shared" si="9"/>
        <v>6090000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1">SUM(K9:K12)</f>
        <v>16100000</v>
      </c>
      <c r="L14" s="140">
        <f t="shared" si="21"/>
        <v>1170000</v>
      </c>
      <c r="M14" s="140">
        <f t="shared" si="21"/>
        <v>17270000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17270000</v>
      </c>
      <c r="R14" s="140">
        <f t="shared" si="21"/>
        <v>0</v>
      </c>
      <c r="S14" s="140">
        <f t="shared" si="21"/>
        <v>17270000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20" si="22">VLOOKUP(B16,DS,2,0)</f>
        <v>Nguyễn Trường Giang</v>
      </c>
      <c r="D16" s="116" t="str">
        <f t="shared" ref="D16:D20" si="23">VLOOKUP(B16,DS,3,0)</f>
        <v>Thợ in</v>
      </c>
      <c r="E16" s="90">
        <f t="shared" ref="E16:E20" si="24">VLOOKUP(B16,DS,4,0)</f>
        <v>5200000</v>
      </c>
      <c r="F16" s="92">
        <f>VLOOKUP(B16,'CC -7'!$B$8:$AS$29,36,0)</f>
        <v>26</v>
      </c>
      <c r="G16" s="145">
        <f t="shared" ref="G16:G20" si="25">ROUND(E16/$U$2*F16,0)</f>
        <v>5200000</v>
      </c>
      <c r="H16" s="92">
        <f>(VLOOKUP(B16,'CC -7'!$B$8:$AS$29,37,0)+VLOOKUP(B16,'CC -7'!$B$8:$AS$29,38,0))</f>
        <v>0</v>
      </c>
      <c r="I16" s="145">
        <f t="shared" ref="I16:I20" si="26">ROUND(E16/$U$2*H16,0)</f>
        <v>0</v>
      </c>
      <c r="J16" s="146">
        <f t="shared" ref="J16:K20" si="27">F16+H16</f>
        <v>26</v>
      </c>
      <c r="K16" s="39">
        <f t="shared" si="27"/>
        <v>5200000</v>
      </c>
      <c r="L16" s="90">
        <f t="shared" ref="L16:L20" si="28">+F16*15000</f>
        <v>390000</v>
      </c>
      <c r="M16" s="40">
        <f t="shared" ref="M16:M20" si="29">K16+L16</f>
        <v>5590000</v>
      </c>
      <c r="N16" s="40">
        <f>IF(VLOOKUP(B16,DS,9,0)="x",'L - 7'!E16*$N$4,0)</f>
        <v>0</v>
      </c>
      <c r="O16" s="40">
        <f t="shared" ref="O16:O20" si="30">IF(VLOOKUP(B16,DS,9,0)="x",E16*0.015,0)</f>
        <v>0</v>
      </c>
      <c r="P16" s="40">
        <f t="shared" ref="P16:P20" si="31">IF(VLOOKUP(B16,DS,9,0)="x",E16*0.01,0)</f>
        <v>0</v>
      </c>
      <c r="Q16" s="39">
        <f>M16-SUM(N16:P16)</f>
        <v>5590000</v>
      </c>
      <c r="R16" s="39">
        <f t="shared" ref="R16:R20" si="32">VLOOKUP(B16,DS,23,0)</f>
        <v>0</v>
      </c>
      <c r="S16" s="45">
        <f>Q16-R16</f>
        <v>5590000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18" si="33">VLOOKUP(B17,DS,2,0)</f>
        <v>Võ Văn Kiệt</v>
      </c>
      <c r="D17" s="116" t="str">
        <f t="shared" ref="D17:D18" si="34">VLOOKUP(B17,DS,3,0)</f>
        <v>Công Đoạn 1</v>
      </c>
      <c r="E17" s="90">
        <f t="shared" ref="E17:E18" si="35">VLOOKUP(B17,DS,4,0)</f>
        <v>5200000</v>
      </c>
      <c r="F17" s="92">
        <f>VLOOKUP(B17,'CC -7'!$B$8:$AS$29,36,0)</f>
        <v>26</v>
      </c>
      <c r="G17" s="145">
        <f t="shared" ref="G17:G18" si="36">ROUND(E17/$U$2*F17,0)</f>
        <v>5200000</v>
      </c>
      <c r="H17" s="92">
        <f>(VLOOKUP(B17,'CC -7'!$B$8:$AS$29,37,0)+VLOOKUP(B17,'CC -7'!$B$8:$AS$29,38,0))</f>
        <v>0</v>
      </c>
      <c r="I17" s="145">
        <f t="shared" ref="I17:I18" si="37">ROUND(E17/$U$2*H17,0)</f>
        <v>0</v>
      </c>
      <c r="J17" s="146">
        <f t="shared" ref="J17:J18" si="38">F17+H17</f>
        <v>26</v>
      </c>
      <c r="K17" s="39">
        <f t="shared" ref="K17:K18" si="39">G17+I17</f>
        <v>5200000</v>
      </c>
      <c r="L17" s="90">
        <f t="shared" ref="L17:L18" si="40">+F17*15000</f>
        <v>390000</v>
      </c>
      <c r="M17" s="40">
        <f t="shared" ref="M17:M18" si="41">K17+L17</f>
        <v>5590000</v>
      </c>
      <c r="N17" s="40">
        <f>IF(VLOOKUP(B17,DS,9,0)="x",'L - 7'!E17*$N$4,0)</f>
        <v>0</v>
      </c>
      <c r="O17" s="40">
        <f t="shared" ref="O17:O18" si="42">IF(VLOOKUP(B17,DS,9,0)="x",E17*0.015,0)</f>
        <v>0</v>
      </c>
      <c r="P17" s="40">
        <f t="shared" ref="P17:P18" si="43">IF(VLOOKUP(B17,DS,9,0)="x",E17*0.01,0)</f>
        <v>0</v>
      </c>
      <c r="Q17" s="39">
        <f t="shared" ref="Q17:Q18" si="44">M17-SUM(N17:P17)</f>
        <v>5590000</v>
      </c>
      <c r="R17" s="39">
        <f t="shared" ref="R17:R18" si="45">VLOOKUP(B17,DS,23,0)</f>
        <v>0</v>
      </c>
      <c r="S17" s="45">
        <f t="shared" ref="S17:S18" si="46">Q17-R17</f>
        <v>5590000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-7'!$B$8:$AS$29,36,0)</f>
        <v>26</v>
      </c>
      <c r="G18" s="145">
        <f t="shared" si="36"/>
        <v>4500000</v>
      </c>
      <c r="H18" s="92">
        <f>(VLOOKUP(B18,'CC -7'!$B$8:$AS$29,37,0)+VLOOKUP(B18,'CC -7'!$B$8:$AS$29,38,0))</f>
        <v>0</v>
      </c>
      <c r="I18" s="145">
        <f t="shared" si="37"/>
        <v>0</v>
      </c>
      <c r="J18" s="146">
        <f t="shared" si="38"/>
        <v>26</v>
      </c>
      <c r="K18" s="39">
        <f t="shared" si="39"/>
        <v>4500000</v>
      </c>
      <c r="L18" s="90">
        <f t="shared" si="40"/>
        <v>390000</v>
      </c>
      <c r="M18" s="40">
        <f t="shared" si="41"/>
        <v>4890000</v>
      </c>
      <c r="N18" s="40">
        <f>IF(VLOOKUP(B18,DS,9,0)="x",'L - 7'!E18*$N$4,0)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4890000</v>
      </c>
      <c r="R18" s="39">
        <f t="shared" si="45"/>
        <v>0</v>
      </c>
      <c r="S18" s="45">
        <f t="shared" si="46"/>
        <v>4890000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22"/>
        <v>Dương Thế Kiệt</v>
      </c>
      <c r="D19" s="116" t="str">
        <f t="shared" si="23"/>
        <v>Công Đoạn 1</v>
      </c>
      <c r="E19" s="90">
        <f t="shared" si="24"/>
        <v>4500000</v>
      </c>
      <c r="F19" s="92">
        <f>VLOOKUP(B19,'CC -7'!$B$8:$AS$29,36,0)</f>
        <v>26</v>
      </c>
      <c r="G19" s="145">
        <f t="shared" si="25"/>
        <v>4500000</v>
      </c>
      <c r="H19" s="92">
        <f>(VLOOKUP(B19,'CC -7'!$B$8:$AS$29,37,0)+VLOOKUP(B19,'CC -7'!$B$8:$AS$29,38,0))</f>
        <v>0</v>
      </c>
      <c r="I19" s="145">
        <f t="shared" si="26"/>
        <v>0</v>
      </c>
      <c r="J19" s="146">
        <f t="shared" si="27"/>
        <v>26</v>
      </c>
      <c r="K19" s="39">
        <f t="shared" si="27"/>
        <v>4500000</v>
      </c>
      <c r="L19" s="90">
        <f t="shared" si="28"/>
        <v>390000</v>
      </c>
      <c r="M19" s="40">
        <f t="shared" si="29"/>
        <v>4890000</v>
      </c>
      <c r="N19" s="40">
        <f>IF(VLOOKUP(B19,DS,9,0)="x",'L - 7'!E19*$N$4,0)</f>
        <v>0</v>
      </c>
      <c r="O19" s="40">
        <f t="shared" si="30"/>
        <v>0</v>
      </c>
      <c r="P19" s="40">
        <f t="shared" si="31"/>
        <v>0</v>
      </c>
      <c r="Q19" s="39">
        <f t="shared" ref="Q19:Q20" si="47">M19-SUM(N19:P19)</f>
        <v>4890000</v>
      </c>
      <c r="R19" s="39">
        <f t="shared" si="32"/>
        <v>0</v>
      </c>
      <c r="S19" s="45">
        <f t="shared" ref="S19:S20" si="48">Q19-R19</f>
        <v>4890000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22"/>
        <v>Lê Văn Hữu</v>
      </c>
      <c r="D20" s="116" t="str">
        <f t="shared" si="23"/>
        <v>Công Đoạn 2</v>
      </c>
      <c r="E20" s="90">
        <f t="shared" si="24"/>
        <v>5200000</v>
      </c>
      <c r="F20" s="92">
        <f>VLOOKUP(B20,'CC -7'!$B$8:$AS$29,36,0)</f>
        <v>26</v>
      </c>
      <c r="G20" s="145">
        <f t="shared" si="25"/>
        <v>5200000</v>
      </c>
      <c r="H20" s="92">
        <f>(VLOOKUP(B20,'CC -7'!$B$8:$AS$29,37,0)+VLOOKUP(B20,'CC -7'!$B$8:$AS$29,38,0))</f>
        <v>0</v>
      </c>
      <c r="I20" s="145">
        <f t="shared" si="26"/>
        <v>0</v>
      </c>
      <c r="J20" s="146">
        <f t="shared" si="27"/>
        <v>26</v>
      </c>
      <c r="K20" s="39">
        <f t="shared" si="27"/>
        <v>5200000</v>
      </c>
      <c r="L20" s="90">
        <f t="shared" si="28"/>
        <v>390000</v>
      </c>
      <c r="M20" s="40">
        <f t="shared" si="29"/>
        <v>5590000</v>
      </c>
      <c r="N20" s="40">
        <f>IF(VLOOKUP(B20,DS,9,0)="x",'L - 7'!E20*$N$4,0)</f>
        <v>0</v>
      </c>
      <c r="O20" s="40">
        <f t="shared" si="30"/>
        <v>0</v>
      </c>
      <c r="P20" s="40">
        <f t="shared" si="31"/>
        <v>0</v>
      </c>
      <c r="Q20" s="39">
        <f t="shared" si="47"/>
        <v>5590000</v>
      </c>
      <c r="R20" s="39">
        <f t="shared" si="32"/>
        <v>0</v>
      </c>
      <c r="S20" s="45">
        <f t="shared" si="48"/>
        <v>5590000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:C22" si="49">VLOOKUP(B21,DS,2,0)</f>
        <v>Bùi Trường Giang</v>
      </c>
      <c r="D21" s="116" t="str">
        <f t="shared" ref="D21:D22" si="50">VLOOKUP(B21,DS,3,0)</f>
        <v>Công Đoạn 2</v>
      </c>
      <c r="E21" s="90">
        <f t="shared" ref="E21:E22" si="51">VLOOKUP(B21,DS,4,0)</f>
        <v>4500000</v>
      </c>
      <c r="F21" s="92">
        <f>VLOOKUP(B21,'CC -7'!$B$8:$AS$29,36,0)</f>
        <v>26</v>
      </c>
      <c r="G21" s="145">
        <f t="shared" ref="G21:G22" si="52">ROUND(E21/$U$2*F21,0)</f>
        <v>4500000</v>
      </c>
      <c r="H21" s="92">
        <f>(VLOOKUP(B21,'CC -7'!$B$8:$AS$29,37,0)+VLOOKUP(B21,'CC -7'!$B$8:$AS$29,38,0))</f>
        <v>0</v>
      </c>
      <c r="I21" s="145">
        <f t="shared" ref="I21:I22" si="53">ROUND(E21/$U$2*H21,0)</f>
        <v>0</v>
      </c>
      <c r="J21" s="146">
        <f t="shared" ref="J21:J22" si="54">F21+H21</f>
        <v>26</v>
      </c>
      <c r="K21" s="39">
        <f t="shared" ref="K21:K22" si="55">G21+I21</f>
        <v>4500000</v>
      </c>
      <c r="L21" s="90">
        <f t="shared" ref="L21:L22" si="56">+F21*15000</f>
        <v>390000</v>
      </c>
      <c r="M21" s="40">
        <f t="shared" ref="M21:M22" si="57">K21+L21</f>
        <v>4890000</v>
      </c>
      <c r="N21" s="40">
        <f>IF(VLOOKUP(B21,DS,9,0)="x",'L - 7'!E21*$N$4,0)</f>
        <v>0</v>
      </c>
      <c r="O21" s="40">
        <f t="shared" ref="O21:O22" si="58">IF(VLOOKUP(B21,DS,9,0)="x",E21*0.015,0)</f>
        <v>0</v>
      </c>
      <c r="P21" s="40">
        <f t="shared" ref="P21:P22" si="59">IF(VLOOKUP(B21,DS,9,0)="x",E21*0.01,0)</f>
        <v>0</v>
      </c>
      <c r="Q21" s="39">
        <f t="shared" ref="Q21:Q22" si="60">M21-SUM(N21:P21)</f>
        <v>4890000</v>
      </c>
      <c r="R21" s="39">
        <f t="shared" ref="R21:R22" si="61">VLOOKUP(B21,DS,23,0)</f>
        <v>0</v>
      </c>
      <c r="S21" s="45">
        <f t="shared" ref="S21:S22" si="62">Q21-R21</f>
        <v>4890000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49"/>
        <v>Nguyễn T Bích Thủy</v>
      </c>
      <c r="D22" s="116" t="str">
        <f t="shared" si="50"/>
        <v>Công Đoạn 2</v>
      </c>
      <c r="E22" s="90">
        <f t="shared" si="51"/>
        <v>4500000</v>
      </c>
      <c r="F22" s="92">
        <f>VLOOKUP(B22,'CC -7'!$B$8:$AS$29,36,0)</f>
        <v>26</v>
      </c>
      <c r="G22" s="145">
        <f t="shared" si="52"/>
        <v>4500000</v>
      </c>
      <c r="H22" s="92">
        <f>(VLOOKUP(B22,'CC -7'!$B$8:$AS$29,37,0)+VLOOKUP(B22,'CC -7'!$B$8:$AS$29,38,0))</f>
        <v>0</v>
      </c>
      <c r="I22" s="145">
        <f t="shared" si="53"/>
        <v>0</v>
      </c>
      <c r="J22" s="146">
        <f t="shared" si="54"/>
        <v>26</v>
      </c>
      <c r="K22" s="39">
        <f t="shared" si="55"/>
        <v>4500000</v>
      </c>
      <c r="L22" s="90">
        <f t="shared" si="56"/>
        <v>390000</v>
      </c>
      <c r="M22" s="40">
        <f t="shared" si="57"/>
        <v>4890000</v>
      </c>
      <c r="N22" s="40">
        <f>IF(VLOOKUP(B22,DS,9,0)="x",'L - 7'!E22*$N$4,0)</f>
        <v>0</v>
      </c>
      <c r="O22" s="40">
        <f t="shared" si="58"/>
        <v>0</v>
      </c>
      <c r="P22" s="40">
        <f t="shared" si="59"/>
        <v>0</v>
      </c>
      <c r="Q22" s="39">
        <f t="shared" si="60"/>
        <v>4890000</v>
      </c>
      <c r="R22" s="39">
        <f t="shared" si="61"/>
        <v>0</v>
      </c>
      <c r="S22" s="45">
        <f t="shared" si="62"/>
        <v>4890000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3">SUM(K15:K23)</f>
        <v>33600000</v>
      </c>
      <c r="L24" s="140">
        <f t="shared" si="63"/>
        <v>2730000</v>
      </c>
      <c r="M24" s="140">
        <f t="shared" si="63"/>
        <v>36330000</v>
      </c>
      <c r="N24" s="140">
        <f t="shared" si="63"/>
        <v>0</v>
      </c>
      <c r="O24" s="140">
        <f t="shared" si="63"/>
        <v>0</v>
      </c>
      <c r="P24" s="140">
        <f t="shared" si="63"/>
        <v>0</v>
      </c>
      <c r="Q24" s="140">
        <f t="shared" si="63"/>
        <v>36330000</v>
      </c>
      <c r="R24" s="140">
        <f t="shared" si="63"/>
        <v>0</v>
      </c>
      <c r="S24" s="140">
        <f t="shared" si="63"/>
        <v>36330000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07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16" sqref="F16:AJ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42583</v>
      </c>
      <c r="G5" s="118">
        <f t="shared" ref="G5:AJ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 t="shared" si="0"/>
        <v>42612</v>
      </c>
      <c r="AJ5" s="118">
        <f t="shared" si="0"/>
        <v>42613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T.Hai</v>
      </c>
      <c r="G6" s="174" t="str">
        <f t="shared" ref="G6:AJ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4" t="str">
        <f t="shared" si="1"/>
        <v>T.Ba</v>
      </c>
      <c r="AJ6" s="174" t="str">
        <f t="shared" si="1"/>
        <v>T.Tư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172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44">
        <f>((SUM(F9:AJ9))/8)-(SUMIF($F$6:$AJ$6,"C.Nhật",F9:AJ9)/8)</f>
        <v>27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27</v>
      </c>
      <c r="AO9" s="250">
        <v>0</v>
      </c>
      <c r="AP9" s="248"/>
      <c r="AQ9" s="248"/>
      <c r="AR9" s="248"/>
      <c r="AS9" s="25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27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44">
        <f t="shared" ref="AK13" si="6">((SUM(F13:AJ13))/8)-(SUMIF($F$6:$AJ$6,"C.Nhật",F13:AJ13)/8)</f>
        <v>27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27</v>
      </c>
      <c r="AO13" s="250">
        <v>0</v>
      </c>
      <c r="AP13" s="248"/>
      <c r="AQ13" s="248"/>
      <c r="AR13" s="248"/>
      <c r="AS13" s="258"/>
      <c r="AT13" s="20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20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44">
        <f t="shared" ref="AK16" si="9">((SUM(F16:AJ16))/8)-(SUMIF($F$6:$AJ$6,"C.Nhật",F16:AJ16)/8)</f>
        <v>27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27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27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44">
        <f t="shared" ref="AK20" si="14">((SUM(F20:AJ20))/8)-(SUMIF($F$6:$AJ$6,"C.Nhật",F20:AJ20)/8)</f>
        <v>27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27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/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/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/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/>
      <c r="AH22" s="143">
        <v>8</v>
      </c>
      <c r="AI22" s="143">
        <v>8</v>
      </c>
      <c r="AJ22" s="143">
        <v>8</v>
      </c>
      <c r="AK22" s="244">
        <f t="shared" ref="AK22" si="17">((SUM(F22:AJ22))/8)-(SUMIF($F$6:$AJ$6,"C.Nhật",F22:AJ22)/8)</f>
        <v>27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 t="shared" ref="AN22" si="19">SUM(AK22:AM23)</f>
        <v>27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/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/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/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/>
      <c r="AH24" s="143">
        <v>8</v>
      </c>
      <c r="AI24" s="143">
        <v>8</v>
      </c>
      <c r="AJ24" s="143">
        <v>8</v>
      </c>
      <c r="AK24" s="244">
        <f t="shared" ref="AK24" si="20">((SUM(F24:AJ24))/8)-(SUMIF($F$6:$AJ$6,"C.Nhật",F24:AJ24)/8)</f>
        <v>27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27</v>
      </c>
      <c r="AO24" s="250">
        <v>0</v>
      </c>
      <c r="AP24" s="248"/>
      <c r="AQ24" s="248"/>
      <c r="AR24" s="248"/>
      <c r="AS24" s="258"/>
      <c r="AT24" s="22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/>
      <c r="M26" s="143">
        <v>8</v>
      </c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/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/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/>
      <c r="AH26" s="143">
        <v>8</v>
      </c>
      <c r="AI26" s="143">
        <v>8</v>
      </c>
      <c r="AJ26" s="143">
        <v>8</v>
      </c>
      <c r="AK26" s="244">
        <f t="shared" ref="AK26" si="23">((SUM(F26:AJ26))/8)-(SUMIF($F$6:$AJ$6,"C.Nhật",F26:AJ26)/8)</f>
        <v>27</v>
      </c>
      <c r="AL26" s="244">
        <f t="shared" ref="AL26" si="24">SUM(F27:AJ27)/8*1.5</f>
        <v>0</v>
      </c>
      <c r="AM26" s="246">
        <f>SUMIF($F$6:$AJ$6,"C.Nhật",$F26:$AJ27)/8*2</f>
        <v>0</v>
      </c>
      <c r="AN26" s="248">
        <f t="shared" ref="AN26" si="25">SUM(AK26:AM27)</f>
        <v>27</v>
      </c>
      <c r="AO26" s="250">
        <v>0</v>
      </c>
      <c r="AP26" s="248"/>
      <c r="AQ26" s="248"/>
      <c r="AR26" s="248"/>
      <c r="AS26" s="258"/>
      <c r="AT26" s="22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>
        <v>8</v>
      </c>
      <c r="H28" s="143">
        <v>8</v>
      </c>
      <c r="I28" s="143">
        <v>8</v>
      </c>
      <c r="J28" s="143">
        <v>8</v>
      </c>
      <c r="K28" s="143">
        <v>8</v>
      </c>
      <c r="L28" s="143"/>
      <c r="M28" s="143">
        <v>8</v>
      </c>
      <c r="N28" s="143">
        <v>8</v>
      </c>
      <c r="O28" s="143">
        <v>8</v>
      </c>
      <c r="P28" s="143">
        <v>8</v>
      </c>
      <c r="Q28" s="143">
        <v>8</v>
      </c>
      <c r="R28" s="143">
        <v>8</v>
      </c>
      <c r="S28" s="143"/>
      <c r="T28" s="143">
        <v>8</v>
      </c>
      <c r="U28" s="143">
        <v>8</v>
      </c>
      <c r="V28" s="143">
        <v>8</v>
      </c>
      <c r="W28" s="143">
        <v>8</v>
      </c>
      <c r="X28" s="143">
        <v>8</v>
      </c>
      <c r="Y28" s="143">
        <v>8</v>
      </c>
      <c r="Z28" s="143"/>
      <c r="AA28" s="143">
        <v>8</v>
      </c>
      <c r="AB28" s="143">
        <v>8</v>
      </c>
      <c r="AC28" s="143">
        <v>8</v>
      </c>
      <c r="AD28" s="143">
        <v>8</v>
      </c>
      <c r="AE28" s="143">
        <v>8</v>
      </c>
      <c r="AF28" s="143">
        <v>8</v>
      </c>
      <c r="AG28" s="143"/>
      <c r="AH28" s="143">
        <v>8</v>
      </c>
      <c r="AI28" s="143">
        <v>8</v>
      </c>
      <c r="AJ28" s="143">
        <v>8</v>
      </c>
      <c r="AK28" s="244">
        <f t="shared" ref="AK28" si="26">((SUM(F28:AJ28))/8)-(SUMIF($F$6:$AJ$6,"C.Nhật",F28:AJ28)/8)</f>
        <v>27</v>
      </c>
      <c r="AL28" s="244">
        <f t="shared" ref="AL28" si="27">SUM(F29:AJ29)/8*1.5</f>
        <v>0</v>
      </c>
      <c r="AM28" s="246">
        <f>SUMIF($F$6:$AJ$6,"C.Nhật",$F28:$AJ29)/8*2</f>
        <v>0</v>
      </c>
      <c r="AN28" s="248">
        <f t="shared" ref="AN28" si="28">SUM(AK28:AM29)</f>
        <v>27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46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46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46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46" s="73" customFormat="1" ht="12.75">
      <c r="A37" s="2"/>
      <c r="B37" s="2" t="s">
        <v>0</v>
      </c>
      <c r="C37" s="2"/>
      <c r="D37" s="198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46" s="73" customFormat="1" ht="12.75">
      <c r="A38" s="2"/>
      <c r="B38" s="2"/>
      <c r="C38" s="2" t="s">
        <v>46</v>
      </c>
      <c r="D38" s="198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L28:AL29"/>
    <mergeCell ref="AM28:AM29"/>
    <mergeCell ref="AN28:AN29"/>
    <mergeCell ref="AO28:AO29"/>
    <mergeCell ref="AP28:AP29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D26:D27"/>
    <mergeCell ref="AK26:AK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N20:AN21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3:AP14"/>
    <mergeCell ref="AQ13:AQ14"/>
    <mergeCell ref="AR13:AR14"/>
    <mergeCell ref="AS13:AS14"/>
    <mergeCell ref="AL13:AL14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0:AO21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</mergeCells>
  <conditionalFormatting sqref="F5:AJ6 F9:AJ14">
    <cfRule type="expression" dxfId="51" priority="40" stopIfTrue="1">
      <formula>IF(WEEKDAY(F$5)=1,TRUE,FALSE)</formula>
    </cfRule>
  </conditionalFormatting>
  <conditionalFormatting sqref="F9:AJ14">
    <cfRule type="expression" dxfId="50" priority="39" stopIfTrue="1">
      <formula>IF(WEEKDAY(F$5)=1,TRUE,FALSE)</formula>
    </cfRule>
  </conditionalFormatting>
  <conditionalFormatting sqref="F16:AJ29">
    <cfRule type="expression" dxfId="49" priority="2" stopIfTrue="1">
      <formula>IF(WEEKDAY(F$5)=1,TRUE,FALSE)</formula>
    </cfRule>
  </conditionalFormatting>
  <conditionalFormatting sqref="F16:AJ29">
    <cfRule type="expression" dxfId="4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2" t="str">
        <f>"BẢNG THANH TOÁN LƯƠNG THÁNG"&amp;" "&amp;TEXT($E$4,"mm")&amp;" / "&amp;TEXT($E$4,"yyyy")</f>
        <v>BẢNG THANH TOÁN LƯƠNG THÁNG 08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MAX(F10:F24)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- 8'!$E$4</f>
        <v>42583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01" t="s">
        <v>40</v>
      </c>
      <c r="G7" s="199" t="s">
        <v>18</v>
      </c>
      <c r="H7" s="201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Nguyễn Thị Thu Sương</v>
      </c>
      <c r="D10" s="116" t="str">
        <f t="shared" ref="D10:D12" si="1">VLOOKUP(B10,DS,3,0)</f>
        <v>Kinh Doanh</v>
      </c>
      <c r="E10" s="90">
        <f t="shared" ref="E10:E12" si="2">VLOOKUP(B10,DS,4,0)</f>
        <v>5200000</v>
      </c>
      <c r="F10" s="92">
        <f>VLOOKUP(B10,'CC - 8'!$B$8:$AS$29,36,0)</f>
        <v>27</v>
      </c>
      <c r="G10" s="145">
        <f t="shared" ref="G10:G12" si="3">ROUND(E10/$U$2*F10,0)</f>
        <v>5200000</v>
      </c>
      <c r="H10" s="92">
        <f>(VLOOKUP(B10,'CC - 8'!$B$8:$AS$29,37,0)+VLOOKUP(B10,'CC - 8'!$B$8:$AS$29,38,0))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5200000</v>
      </c>
      <c r="L10" s="90">
        <f t="shared" ref="L10:L12" si="6">+F10*15000</f>
        <v>405000</v>
      </c>
      <c r="M10" s="40">
        <f t="shared" ref="M10:M12" si="7">K10+L10</f>
        <v>5605000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5605000</v>
      </c>
      <c r="R10" s="39">
        <f>VLOOKUP(B10,DS,23,0)</f>
        <v>0</v>
      </c>
      <c r="S10" s="45">
        <f t="shared" ref="S10:S12" si="9">Q10-R10</f>
        <v>5605000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10">VLOOKUP(B11,DS,2,0)</f>
        <v>Trần Anh Nhựt</v>
      </c>
      <c r="D11" s="116" t="str">
        <f t="shared" ref="D11" si="11">VLOOKUP(B11,DS,3,0)</f>
        <v>Thiết Kế</v>
      </c>
      <c r="E11" s="90">
        <f t="shared" ref="E11" si="12">VLOOKUP(B11,DS,4,0)</f>
        <v>5200000</v>
      </c>
      <c r="F11" s="92">
        <f>VLOOKUP(B11,'CC - 8'!$B$8:$AS$29,36,0)</f>
        <v>27</v>
      </c>
      <c r="G11" s="145">
        <f t="shared" ref="G11" si="13">ROUND(E11/$U$2*F11,0)</f>
        <v>5200000</v>
      </c>
      <c r="H11" s="92">
        <f>(VLOOKUP(B11,'CC - 8'!$B$8:$AS$29,37,0)+VLOOKUP(B11,'CC - 8'!$B$8:$AS$29,38,0))</f>
        <v>0</v>
      </c>
      <c r="I11" s="145">
        <f t="shared" ref="I11" si="14">ROUND(E11/$U$2*H11,0)</f>
        <v>0</v>
      </c>
      <c r="J11" s="93">
        <f t="shared" ref="J11" si="15">F11+H11</f>
        <v>27</v>
      </c>
      <c r="K11" s="39">
        <f t="shared" ref="K11" si="16">G11+I11</f>
        <v>5200000</v>
      </c>
      <c r="L11" s="90">
        <f t="shared" ref="L11" si="17">+F11*15000</f>
        <v>405000</v>
      </c>
      <c r="M11" s="40">
        <f t="shared" ref="M11" si="18">K11+L11</f>
        <v>5605000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5605000</v>
      </c>
      <c r="R11" s="39">
        <f>VLOOKUP(B11,DS,23,0)</f>
        <v>0</v>
      </c>
      <c r="S11" s="45">
        <f t="shared" ref="S11" si="20">Q11-R11</f>
        <v>5605000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0"/>
        <v>Huỳnh Minh Toàn</v>
      </c>
      <c r="D12" s="116" t="str">
        <f t="shared" si="1"/>
        <v>Thủ Kho</v>
      </c>
      <c r="E12" s="90">
        <f t="shared" si="2"/>
        <v>5700000</v>
      </c>
      <c r="F12" s="92">
        <f>VLOOKUP(B12,'CC - 8'!$B$8:$AS$29,36,0)</f>
        <v>27</v>
      </c>
      <c r="G12" s="145">
        <f t="shared" si="3"/>
        <v>5700000</v>
      </c>
      <c r="H12" s="92">
        <f>(VLOOKUP(B12,'CC - 8'!$B$8:$AS$29,37,0)+VLOOKUP(B12,'CC - 8'!$B$8:$AS$29,38,0))</f>
        <v>0</v>
      </c>
      <c r="I12" s="145">
        <f t="shared" si="4"/>
        <v>0</v>
      </c>
      <c r="J12" s="93">
        <f t="shared" si="5"/>
        <v>27</v>
      </c>
      <c r="K12" s="39">
        <f t="shared" si="5"/>
        <v>5700000</v>
      </c>
      <c r="L12" s="90">
        <f t="shared" si="6"/>
        <v>405000</v>
      </c>
      <c r="M12" s="40">
        <f t="shared" si="7"/>
        <v>6105000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6105000</v>
      </c>
      <c r="R12" s="39">
        <f>VLOOKUP(B12,DS,23,0)</f>
        <v>0</v>
      </c>
      <c r="S12" s="45">
        <f t="shared" si="9"/>
        <v>6105000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1">SUM(K9:K12)</f>
        <v>16100000</v>
      </c>
      <c r="L14" s="140">
        <f t="shared" si="21"/>
        <v>1215000</v>
      </c>
      <c r="M14" s="140">
        <f t="shared" si="21"/>
        <v>17315000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17315000</v>
      </c>
      <c r="R14" s="140">
        <f t="shared" si="21"/>
        <v>0</v>
      </c>
      <c r="S14" s="140">
        <f t="shared" si="21"/>
        <v>17315000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20" si="22">VLOOKUP(B16,DS,2,0)</f>
        <v>Nguyễn Trường Giang</v>
      </c>
      <c r="D16" s="116" t="str">
        <f t="shared" ref="D16:D20" si="23">VLOOKUP(B16,DS,3,0)</f>
        <v>Thợ in</v>
      </c>
      <c r="E16" s="90">
        <f t="shared" ref="E16:E20" si="24">VLOOKUP(B16,DS,4,0)</f>
        <v>5200000</v>
      </c>
      <c r="F16" s="92">
        <f>VLOOKUP(B16,'CC - 8'!$B$8:$AS$29,36,0)</f>
        <v>27</v>
      </c>
      <c r="G16" s="145">
        <f t="shared" ref="G16:G20" si="25">ROUND(E16/$U$2*F16,0)</f>
        <v>5200000</v>
      </c>
      <c r="H16" s="92">
        <f>(VLOOKUP(B16,'CC - 8'!$B$8:$AS$29,37,0)+VLOOKUP(B16,'CC - 8'!$B$8:$AS$29,38,0))</f>
        <v>0</v>
      </c>
      <c r="I16" s="145">
        <f t="shared" ref="I16:I20" si="26">ROUND(E16/$U$2*H16,0)</f>
        <v>0</v>
      </c>
      <c r="J16" s="146">
        <f t="shared" ref="J16:K20" si="27">F16+H16</f>
        <v>27</v>
      </c>
      <c r="K16" s="39">
        <f t="shared" si="27"/>
        <v>5200000</v>
      </c>
      <c r="L16" s="90">
        <f t="shared" ref="L16:L20" si="28">+F16*15000</f>
        <v>405000</v>
      </c>
      <c r="M16" s="40">
        <f t="shared" ref="M16:M20" si="29">K16+L16</f>
        <v>5605000</v>
      </c>
      <c r="N16" s="40">
        <f>IF(VLOOKUP(B16,DS,9,0)="x",'L - 8'!E16*$N$4,0)</f>
        <v>0</v>
      </c>
      <c r="O16" s="40">
        <f t="shared" ref="O16:O20" si="30">IF(VLOOKUP(B16,DS,9,0)="x",E16*0.015,0)</f>
        <v>0</v>
      </c>
      <c r="P16" s="40">
        <f t="shared" ref="P16:P20" si="31">IF(VLOOKUP(B16,DS,9,0)="x",E16*0.01,0)</f>
        <v>0</v>
      </c>
      <c r="Q16" s="39">
        <f>M16-SUM(N16:P16)</f>
        <v>5605000</v>
      </c>
      <c r="R16" s="39">
        <f t="shared" ref="R16:R20" si="32">VLOOKUP(B16,DS,23,0)</f>
        <v>0</v>
      </c>
      <c r="S16" s="45">
        <f>Q16-R16</f>
        <v>5605000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18" si="33">VLOOKUP(B17,DS,2,0)</f>
        <v>Võ Văn Kiệt</v>
      </c>
      <c r="D17" s="116" t="str">
        <f t="shared" ref="D17:D18" si="34">VLOOKUP(B17,DS,3,0)</f>
        <v>Công Đoạn 1</v>
      </c>
      <c r="E17" s="90">
        <f t="shared" ref="E17:E18" si="35">VLOOKUP(B17,DS,4,0)</f>
        <v>5200000</v>
      </c>
      <c r="F17" s="92">
        <f>VLOOKUP(B17,'CC - 8'!$B$8:$AS$29,36,0)</f>
        <v>27</v>
      </c>
      <c r="G17" s="145">
        <f t="shared" ref="G17:G18" si="36">ROUND(E17/$U$2*F17,0)</f>
        <v>5200000</v>
      </c>
      <c r="H17" s="92">
        <f>(VLOOKUP(B17,'CC - 8'!$B$8:$AS$29,37,0)+VLOOKUP(B17,'CC - 8'!$B$8:$AS$29,38,0))</f>
        <v>0</v>
      </c>
      <c r="I17" s="145">
        <f t="shared" ref="I17:I18" si="37">ROUND(E17/$U$2*H17,0)</f>
        <v>0</v>
      </c>
      <c r="J17" s="146">
        <f t="shared" ref="J17:J18" si="38">F17+H17</f>
        <v>27</v>
      </c>
      <c r="K17" s="39">
        <f t="shared" ref="K17:K18" si="39">G17+I17</f>
        <v>5200000</v>
      </c>
      <c r="L17" s="90">
        <f t="shared" ref="L17:L18" si="40">+F17*15000</f>
        <v>405000</v>
      </c>
      <c r="M17" s="40">
        <f t="shared" ref="M17:M18" si="41">K17+L17</f>
        <v>5605000</v>
      </c>
      <c r="N17" s="40">
        <f>IF(VLOOKUP(B17,DS,9,0)="x",'L - 8'!E17*$N$4,0)</f>
        <v>0</v>
      </c>
      <c r="O17" s="40">
        <f t="shared" ref="O17:O18" si="42">IF(VLOOKUP(B17,DS,9,0)="x",E17*0.015,0)</f>
        <v>0</v>
      </c>
      <c r="P17" s="40">
        <f t="shared" ref="P17:P18" si="43">IF(VLOOKUP(B17,DS,9,0)="x",E17*0.01,0)</f>
        <v>0</v>
      </c>
      <c r="Q17" s="39">
        <f t="shared" ref="Q17:Q18" si="44">M17-SUM(N17:P17)</f>
        <v>5605000</v>
      </c>
      <c r="R17" s="39">
        <f t="shared" ref="R17:R18" si="45">VLOOKUP(B17,DS,23,0)</f>
        <v>0</v>
      </c>
      <c r="S17" s="45">
        <f t="shared" ref="S17:S18" si="46">Q17-R17</f>
        <v>5605000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- 8'!$B$8:$AS$29,36,0)</f>
        <v>27</v>
      </c>
      <c r="G18" s="145">
        <f t="shared" si="36"/>
        <v>4500000</v>
      </c>
      <c r="H18" s="92">
        <f>(VLOOKUP(B18,'CC - 8'!$B$8:$AS$29,37,0)+VLOOKUP(B18,'CC - 8'!$B$8:$AS$29,38,0))</f>
        <v>0</v>
      </c>
      <c r="I18" s="145">
        <f t="shared" si="37"/>
        <v>0</v>
      </c>
      <c r="J18" s="146">
        <f t="shared" si="38"/>
        <v>27</v>
      </c>
      <c r="K18" s="39">
        <f t="shared" si="39"/>
        <v>4500000</v>
      </c>
      <c r="L18" s="90">
        <f t="shared" si="40"/>
        <v>405000</v>
      </c>
      <c r="M18" s="40">
        <f t="shared" si="41"/>
        <v>4905000</v>
      </c>
      <c r="N18" s="40">
        <f>IF(VLOOKUP(B18,DS,9,0)="x",'L - 8'!E18*$N$4,0)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4905000</v>
      </c>
      <c r="R18" s="39">
        <f t="shared" si="45"/>
        <v>0</v>
      </c>
      <c r="S18" s="45">
        <f t="shared" si="46"/>
        <v>4905000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22"/>
        <v>Dương Thế Kiệt</v>
      </c>
      <c r="D19" s="116" t="str">
        <f t="shared" si="23"/>
        <v>Công Đoạn 1</v>
      </c>
      <c r="E19" s="90">
        <f t="shared" si="24"/>
        <v>4500000</v>
      </c>
      <c r="F19" s="92">
        <f>VLOOKUP(B19,'CC - 8'!$B$8:$AS$29,36,0)</f>
        <v>27</v>
      </c>
      <c r="G19" s="145">
        <f t="shared" si="25"/>
        <v>4500000</v>
      </c>
      <c r="H19" s="92">
        <f>(VLOOKUP(B19,'CC - 8'!$B$8:$AS$29,37,0)+VLOOKUP(B19,'CC - 8'!$B$8:$AS$29,38,0))</f>
        <v>0</v>
      </c>
      <c r="I19" s="145">
        <f t="shared" si="26"/>
        <v>0</v>
      </c>
      <c r="J19" s="146">
        <f t="shared" si="27"/>
        <v>27</v>
      </c>
      <c r="K19" s="39">
        <f t="shared" si="27"/>
        <v>4500000</v>
      </c>
      <c r="L19" s="90">
        <f t="shared" si="28"/>
        <v>405000</v>
      </c>
      <c r="M19" s="40">
        <f t="shared" si="29"/>
        <v>4905000</v>
      </c>
      <c r="N19" s="40">
        <f>IF(VLOOKUP(B19,DS,9,0)="x",'L - 8'!E19*$N$4,0)</f>
        <v>0</v>
      </c>
      <c r="O19" s="40">
        <f t="shared" si="30"/>
        <v>0</v>
      </c>
      <c r="P19" s="40">
        <f t="shared" si="31"/>
        <v>0</v>
      </c>
      <c r="Q19" s="39">
        <f t="shared" ref="Q19:Q20" si="47">M19-SUM(N19:P19)</f>
        <v>4905000</v>
      </c>
      <c r="R19" s="39">
        <f t="shared" si="32"/>
        <v>0</v>
      </c>
      <c r="S19" s="45">
        <f t="shared" ref="S19:S20" si="48">Q19-R19</f>
        <v>4905000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22"/>
        <v>Lê Văn Hữu</v>
      </c>
      <c r="D20" s="116" t="str">
        <f t="shared" si="23"/>
        <v>Công Đoạn 2</v>
      </c>
      <c r="E20" s="90">
        <f t="shared" si="24"/>
        <v>5200000</v>
      </c>
      <c r="F20" s="92">
        <f>VLOOKUP(B20,'CC - 8'!$B$8:$AS$29,36,0)</f>
        <v>27</v>
      </c>
      <c r="G20" s="145">
        <f t="shared" si="25"/>
        <v>5200000</v>
      </c>
      <c r="H20" s="92">
        <f>(VLOOKUP(B20,'CC - 8'!$B$8:$AS$29,37,0)+VLOOKUP(B20,'CC - 8'!$B$8:$AS$29,38,0))</f>
        <v>0</v>
      </c>
      <c r="I20" s="145">
        <f t="shared" si="26"/>
        <v>0</v>
      </c>
      <c r="J20" s="146">
        <f t="shared" si="27"/>
        <v>27</v>
      </c>
      <c r="K20" s="39">
        <f t="shared" si="27"/>
        <v>5200000</v>
      </c>
      <c r="L20" s="90">
        <f t="shared" si="28"/>
        <v>405000</v>
      </c>
      <c r="M20" s="40">
        <f t="shared" si="29"/>
        <v>5605000</v>
      </c>
      <c r="N20" s="40">
        <f>IF(VLOOKUP(B20,DS,9,0)="x",'L - 8'!E20*$N$4,0)</f>
        <v>0</v>
      </c>
      <c r="O20" s="40">
        <f t="shared" si="30"/>
        <v>0</v>
      </c>
      <c r="P20" s="40">
        <f t="shared" si="31"/>
        <v>0</v>
      </c>
      <c r="Q20" s="39">
        <f t="shared" si="47"/>
        <v>5605000</v>
      </c>
      <c r="R20" s="39">
        <f t="shared" si="32"/>
        <v>0</v>
      </c>
      <c r="S20" s="45">
        <f t="shared" si="48"/>
        <v>5605000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:C22" si="49">VLOOKUP(B21,DS,2,0)</f>
        <v>Bùi Trường Giang</v>
      </c>
      <c r="D21" s="116" t="str">
        <f t="shared" ref="D21:D22" si="50">VLOOKUP(B21,DS,3,0)</f>
        <v>Công Đoạn 2</v>
      </c>
      <c r="E21" s="90">
        <f t="shared" ref="E21:E22" si="51">VLOOKUP(B21,DS,4,0)</f>
        <v>4500000</v>
      </c>
      <c r="F21" s="92">
        <f>VLOOKUP(B21,'CC - 8'!$B$8:$AS$29,36,0)</f>
        <v>27</v>
      </c>
      <c r="G21" s="145">
        <f t="shared" ref="G21:G22" si="52">ROUND(E21/$U$2*F21,0)</f>
        <v>4500000</v>
      </c>
      <c r="H21" s="92">
        <f>(VLOOKUP(B21,'CC - 8'!$B$8:$AS$29,37,0)+VLOOKUP(B21,'CC - 8'!$B$8:$AS$29,38,0))</f>
        <v>0</v>
      </c>
      <c r="I21" s="145">
        <f t="shared" ref="I21:I22" si="53">ROUND(E21/$U$2*H21,0)</f>
        <v>0</v>
      </c>
      <c r="J21" s="146">
        <f t="shared" ref="J21:J22" si="54">F21+H21</f>
        <v>27</v>
      </c>
      <c r="K21" s="39">
        <f t="shared" ref="K21:K22" si="55">G21+I21</f>
        <v>4500000</v>
      </c>
      <c r="L21" s="90">
        <f t="shared" ref="L21:L22" si="56">+F21*15000</f>
        <v>405000</v>
      </c>
      <c r="M21" s="40">
        <f t="shared" ref="M21:M22" si="57">K21+L21</f>
        <v>4905000</v>
      </c>
      <c r="N21" s="40">
        <f>IF(VLOOKUP(B21,DS,9,0)="x",'L - 8'!E21*$N$4,0)</f>
        <v>0</v>
      </c>
      <c r="O21" s="40">
        <f t="shared" ref="O21:O22" si="58">IF(VLOOKUP(B21,DS,9,0)="x",E21*0.015,0)</f>
        <v>0</v>
      </c>
      <c r="P21" s="40">
        <f t="shared" ref="P21:P22" si="59">IF(VLOOKUP(B21,DS,9,0)="x",E21*0.01,0)</f>
        <v>0</v>
      </c>
      <c r="Q21" s="39">
        <f t="shared" ref="Q21:Q22" si="60">M21-SUM(N21:P21)</f>
        <v>4905000</v>
      </c>
      <c r="R21" s="39">
        <f t="shared" ref="R21:R22" si="61">VLOOKUP(B21,DS,23,0)</f>
        <v>0</v>
      </c>
      <c r="S21" s="45">
        <f t="shared" ref="S21:S22" si="62">Q21-R21</f>
        <v>4905000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49"/>
        <v>Nguyễn T Bích Thủy</v>
      </c>
      <c r="D22" s="116" t="str">
        <f t="shared" si="50"/>
        <v>Công Đoạn 2</v>
      </c>
      <c r="E22" s="90">
        <f t="shared" si="51"/>
        <v>4500000</v>
      </c>
      <c r="F22" s="92">
        <f>VLOOKUP(B22,'CC - 8'!$B$8:$AS$29,36,0)</f>
        <v>27</v>
      </c>
      <c r="G22" s="145">
        <f t="shared" si="52"/>
        <v>4500000</v>
      </c>
      <c r="H22" s="92">
        <f>(VLOOKUP(B22,'CC - 8'!$B$8:$AS$29,37,0)+VLOOKUP(B22,'CC - 8'!$B$8:$AS$29,38,0))</f>
        <v>0</v>
      </c>
      <c r="I22" s="145">
        <f t="shared" si="53"/>
        <v>0</v>
      </c>
      <c r="J22" s="146">
        <f t="shared" si="54"/>
        <v>27</v>
      </c>
      <c r="K22" s="39">
        <f t="shared" si="55"/>
        <v>4500000</v>
      </c>
      <c r="L22" s="90">
        <f t="shared" si="56"/>
        <v>405000</v>
      </c>
      <c r="M22" s="40">
        <f t="shared" si="57"/>
        <v>4905000</v>
      </c>
      <c r="N22" s="40">
        <f>IF(VLOOKUP(B22,DS,9,0)="x",'L - 8'!E22*$N$4,0)</f>
        <v>0</v>
      </c>
      <c r="O22" s="40">
        <f t="shared" si="58"/>
        <v>0</v>
      </c>
      <c r="P22" s="40">
        <f t="shared" si="59"/>
        <v>0</v>
      </c>
      <c r="Q22" s="39">
        <f t="shared" si="60"/>
        <v>4905000</v>
      </c>
      <c r="R22" s="39">
        <f t="shared" si="61"/>
        <v>0</v>
      </c>
      <c r="S22" s="45">
        <f t="shared" si="62"/>
        <v>4905000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3">SUM(K15:K23)</f>
        <v>33600000</v>
      </c>
      <c r="L24" s="140">
        <f t="shared" si="63"/>
        <v>2835000</v>
      </c>
      <c r="M24" s="140">
        <f t="shared" si="63"/>
        <v>36435000</v>
      </c>
      <c r="N24" s="140">
        <f t="shared" si="63"/>
        <v>0</v>
      </c>
      <c r="O24" s="140">
        <f t="shared" si="63"/>
        <v>0</v>
      </c>
      <c r="P24" s="140">
        <f t="shared" si="63"/>
        <v>0</v>
      </c>
      <c r="Q24" s="140">
        <f t="shared" si="63"/>
        <v>36435000</v>
      </c>
      <c r="R24" s="140">
        <f t="shared" si="63"/>
        <v>0</v>
      </c>
      <c r="S24" s="140">
        <f t="shared" si="63"/>
        <v>36435000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08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42614</v>
      </c>
      <c r="G5" s="118">
        <f t="shared" ref="G5:AJ5" si="0">F5+1</f>
        <v>42615</v>
      </c>
      <c r="H5" s="118">
        <f t="shared" si="0"/>
        <v>42616</v>
      </c>
      <c r="I5" s="118">
        <f t="shared" si="0"/>
        <v>42617</v>
      </c>
      <c r="J5" s="118">
        <f t="shared" si="0"/>
        <v>42618</v>
      </c>
      <c r="K5" s="118">
        <f t="shared" si="0"/>
        <v>42619</v>
      </c>
      <c r="L5" s="118">
        <f t="shared" si="0"/>
        <v>42620</v>
      </c>
      <c r="M5" s="118">
        <f t="shared" si="0"/>
        <v>42621</v>
      </c>
      <c r="N5" s="118">
        <f t="shared" si="0"/>
        <v>42622</v>
      </c>
      <c r="O5" s="118">
        <f t="shared" si="0"/>
        <v>42623</v>
      </c>
      <c r="P5" s="118">
        <f t="shared" si="0"/>
        <v>42624</v>
      </c>
      <c r="Q5" s="118">
        <f t="shared" si="0"/>
        <v>42625</v>
      </c>
      <c r="R5" s="118">
        <f t="shared" si="0"/>
        <v>42626</v>
      </c>
      <c r="S5" s="118">
        <f t="shared" si="0"/>
        <v>42627</v>
      </c>
      <c r="T5" s="118">
        <f t="shared" si="0"/>
        <v>42628</v>
      </c>
      <c r="U5" s="118">
        <f t="shared" si="0"/>
        <v>42629</v>
      </c>
      <c r="V5" s="118">
        <f t="shared" si="0"/>
        <v>42630</v>
      </c>
      <c r="W5" s="118">
        <f t="shared" si="0"/>
        <v>42631</v>
      </c>
      <c r="X5" s="118">
        <f t="shared" si="0"/>
        <v>42632</v>
      </c>
      <c r="Y5" s="118">
        <f t="shared" si="0"/>
        <v>42633</v>
      </c>
      <c r="Z5" s="118">
        <f t="shared" si="0"/>
        <v>42634</v>
      </c>
      <c r="AA5" s="118">
        <f t="shared" si="0"/>
        <v>42635</v>
      </c>
      <c r="AB5" s="118">
        <f t="shared" si="0"/>
        <v>42636</v>
      </c>
      <c r="AC5" s="118">
        <f t="shared" si="0"/>
        <v>42637</v>
      </c>
      <c r="AD5" s="118">
        <f t="shared" si="0"/>
        <v>42638</v>
      </c>
      <c r="AE5" s="118">
        <f t="shared" si="0"/>
        <v>42639</v>
      </c>
      <c r="AF5" s="118">
        <f t="shared" si="0"/>
        <v>42640</v>
      </c>
      <c r="AG5" s="118">
        <f t="shared" si="0"/>
        <v>42641</v>
      </c>
      <c r="AH5" s="118">
        <f>AG5+1</f>
        <v>42642</v>
      </c>
      <c r="AI5" s="118">
        <f t="shared" si="0"/>
        <v>42643</v>
      </c>
      <c r="AJ5" s="118">
        <f t="shared" si="0"/>
        <v>42644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172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4">
        <f>((SUM(F9:AJ9))/8)-(SUMIF($F$6:$AJ$6,"C.Nhật",F9:AJ9)/8)</f>
        <v>25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25</v>
      </c>
      <c r="AO9" s="250">
        <v>0</v>
      </c>
      <c r="AP9" s="248"/>
      <c r="AQ9" s="248"/>
      <c r="AR9" s="248"/>
      <c r="AS9" s="258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4">
        <f t="shared" ref="AK11" si="2">((SUM(F11:AJ11))/8)-(SUMIF($F$6:$AJ$6,"C.Nhật",F11:AJ11)/8)</f>
        <v>25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25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4">
        <f t="shared" ref="AK13" si="6">((SUM(F13:AJ13))/8)-(SUMIF($F$6:$AJ$6,"C.Nhật",F13:AJ13)/8)</f>
        <v>25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25</v>
      </c>
      <c r="AO13" s="250">
        <v>0</v>
      </c>
      <c r="AP13" s="248"/>
      <c r="AQ13" s="248"/>
      <c r="AR13" s="248"/>
      <c r="AS13" s="258"/>
      <c r="AT13" s="20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20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4">
        <f t="shared" ref="AK16" si="9">((SUM(F16:AJ16))/8)-(SUMIF($F$6:$AJ$6,"C.Nhật",F16:AJ16)/8)</f>
        <v>25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25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4">
        <f t="shared" ref="AK18" si="11">((SUM(F18:AJ18))/8)-(SUMIF($F$6:$AJ$6,"C.Nhật",F18:AJ18)/8)</f>
        <v>25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25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4">
        <f t="shared" ref="AK20" si="14">((SUM(F20:AJ20))/8)-(SUMIF($F$6:$AJ$6,"C.Nhật",F20:AJ20)/8)</f>
        <v>25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25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/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44">
        <f t="shared" ref="AK22" si="17">((SUM(F22:AJ22))/8)-(SUMIF($F$6:$AJ$6,"C.Nhật",F22:AJ22)/8)</f>
        <v>25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 t="shared" ref="AN22" si="19">SUM(AK22:AM23)</f>
        <v>25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/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44">
        <f t="shared" ref="AK24" si="20">((SUM(F24:AJ24))/8)-(SUMIF($F$6:$AJ$6,"C.Nhật",F24:AJ24)/8)</f>
        <v>25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25</v>
      </c>
      <c r="AO24" s="250">
        <v>0</v>
      </c>
      <c r="AP24" s="248"/>
      <c r="AQ24" s="248"/>
      <c r="AR24" s="248"/>
      <c r="AS24" s="258"/>
      <c r="AT24" s="22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/>
      <c r="H26" s="143">
        <v>8</v>
      </c>
      <c r="I26" s="143"/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/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/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/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/>
      <c r="AK26" s="244">
        <f t="shared" ref="AK26" si="23">((SUM(F26:AJ26))/8)-(SUMIF($F$6:$AJ$6,"C.Nhật",F26:AJ26)/8)</f>
        <v>25</v>
      </c>
      <c r="AL26" s="244">
        <f t="shared" ref="AL26" si="24">SUM(F27:AJ27)/8*1.5</f>
        <v>0</v>
      </c>
      <c r="AM26" s="246">
        <f>SUMIF($F$6:$AJ$6,"C.Nhật",$F26:$AJ27)/8*2</f>
        <v>0</v>
      </c>
      <c r="AN26" s="248">
        <f t="shared" ref="AN26" si="25">SUM(AK26:AM27)</f>
        <v>25</v>
      </c>
      <c r="AO26" s="250">
        <v>0</v>
      </c>
      <c r="AP26" s="248"/>
      <c r="AQ26" s="248"/>
      <c r="AR26" s="248"/>
      <c r="AS26" s="258"/>
      <c r="AT26" s="22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/>
      <c r="H28" s="143">
        <v>8</v>
      </c>
      <c r="I28" s="143"/>
      <c r="J28" s="143">
        <v>8</v>
      </c>
      <c r="K28" s="143">
        <v>8</v>
      </c>
      <c r="L28" s="143">
        <v>8</v>
      </c>
      <c r="M28" s="143">
        <v>8</v>
      </c>
      <c r="N28" s="143">
        <v>8</v>
      </c>
      <c r="O28" s="143">
        <v>8</v>
      </c>
      <c r="P28" s="143"/>
      <c r="Q28" s="143">
        <v>8</v>
      </c>
      <c r="R28" s="143">
        <v>8</v>
      </c>
      <c r="S28" s="143">
        <v>8</v>
      </c>
      <c r="T28" s="143">
        <v>8</v>
      </c>
      <c r="U28" s="143">
        <v>8</v>
      </c>
      <c r="V28" s="143">
        <v>8</v>
      </c>
      <c r="W28" s="143"/>
      <c r="X28" s="143">
        <v>8</v>
      </c>
      <c r="Y28" s="143">
        <v>8</v>
      </c>
      <c r="Z28" s="143">
        <v>8</v>
      </c>
      <c r="AA28" s="143">
        <v>8</v>
      </c>
      <c r="AB28" s="143">
        <v>8</v>
      </c>
      <c r="AC28" s="143">
        <v>8</v>
      </c>
      <c r="AD28" s="143"/>
      <c r="AE28" s="143">
        <v>8</v>
      </c>
      <c r="AF28" s="143">
        <v>8</v>
      </c>
      <c r="AG28" s="143">
        <v>8</v>
      </c>
      <c r="AH28" s="143">
        <v>8</v>
      </c>
      <c r="AI28" s="143">
        <v>8</v>
      </c>
      <c r="AJ28" s="143"/>
      <c r="AK28" s="244">
        <f t="shared" ref="AK28" si="26">((SUM(F28:AJ28))/8)-(SUMIF($F$6:$AJ$6,"C.Nhật",F28:AJ28)/8)</f>
        <v>25</v>
      </c>
      <c r="AL28" s="244">
        <f t="shared" ref="AL28" si="27">SUM(F29:AJ29)/8*1.5</f>
        <v>0</v>
      </c>
      <c r="AM28" s="246">
        <f>SUMIF($F$6:$AJ$6,"C.Nhật",$F28:$AJ29)/8*2</f>
        <v>0</v>
      </c>
      <c r="AN28" s="248">
        <f t="shared" ref="AN28" si="28">SUM(AK28:AM29)</f>
        <v>25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46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46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46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46" s="73" customFormat="1" ht="12.75">
      <c r="A37" s="2"/>
      <c r="B37" s="2" t="s">
        <v>0</v>
      </c>
      <c r="C37" s="2"/>
      <c r="D37" s="198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46" s="73" customFormat="1" ht="12.75">
      <c r="A38" s="2"/>
      <c r="B38" s="2"/>
      <c r="C38" s="2" t="s">
        <v>46</v>
      </c>
      <c r="D38" s="198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L28:AL29"/>
    <mergeCell ref="AM28:AM29"/>
    <mergeCell ref="AN28:AN29"/>
    <mergeCell ref="AO28:AO29"/>
    <mergeCell ref="AP28:AP29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D26:D27"/>
    <mergeCell ref="AK26:AK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N20:AN21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3:AP14"/>
    <mergeCell ref="AQ13:AQ14"/>
    <mergeCell ref="AR13:AR14"/>
    <mergeCell ref="AS13:AS14"/>
    <mergeCell ref="AL13:AL14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0:AO21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</mergeCells>
  <conditionalFormatting sqref="F5:AJ6 F9:AJ10 F11:AI14">
    <cfRule type="expression" dxfId="47" priority="57" stopIfTrue="1">
      <formula>IF(WEEKDAY(F$5)=1,TRUE,FALSE)</formula>
    </cfRule>
  </conditionalFormatting>
  <conditionalFormatting sqref="F9:AJ10 F11:AI14">
    <cfRule type="expression" dxfId="46" priority="56" stopIfTrue="1">
      <formula>IF(WEEKDAY(F$5)=1,TRUE,FALSE)</formula>
    </cfRule>
  </conditionalFormatting>
  <conditionalFormatting sqref="AJ13:AJ14">
    <cfRule type="expression" dxfId="45" priority="47" stopIfTrue="1">
      <formula>IF(WEEKDAY(AJ$5)=1,TRUE,FALSE)</formula>
    </cfRule>
  </conditionalFormatting>
  <conditionalFormatting sqref="AJ13:AJ14">
    <cfRule type="expression" dxfId="44" priority="46" stopIfTrue="1">
      <formula>IF(WEEKDAY(AJ$5)=1,TRUE,FALSE)</formula>
    </cfRule>
  </conditionalFormatting>
  <conditionalFormatting sqref="AJ16:AJ17 AJ26:AJ29">
    <cfRule type="expression" dxfId="43" priority="43" stopIfTrue="1">
      <formula>IF(WEEKDAY(AJ$5)=1,TRUE,FALSE)</formula>
    </cfRule>
  </conditionalFormatting>
  <conditionalFormatting sqref="AJ16:AJ17 AJ26:AJ29">
    <cfRule type="expression" dxfId="42" priority="42" stopIfTrue="1">
      <formula>IF(WEEKDAY(AJ$5)=1,TRUE,FALSE)</formula>
    </cfRule>
  </conditionalFormatting>
  <conditionalFormatting sqref="AJ16:AJ17 AJ26:AJ29">
    <cfRule type="expression" dxfId="41" priority="41" stopIfTrue="1">
      <formula>IF(WEEKDAY(AJ$5)=1,TRUE,FALSE)</formula>
    </cfRule>
  </conditionalFormatting>
  <conditionalFormatting sqref="AJ16:AJ17 AJ26:AJ29">
    <cfRule type="expression" dxfId="40" priority="40" stopIfTrue="1">
      <formula>IF(WEEKDAY(AJ$5)=1,TRUE,FALSE)</formula>
    </cfRule>
  </conditionalFormatting>
  <conditionalFormatting sqref="AJ16:AJ17 AJ26:AJ29">
    <cfRule type="expression" dxfId="39" priority="39" stopIfTrue="1">
      <formula>IF(WEEKDAY(AJ$5)=1,TRUE,FALSE)</formula>
    </cfRule>
  </conditionalFormatting>
  <conditionalFormatting sqref="AJ16:AJ17 AJ26:AJ29">
    <cfRule type="expression" dxfId="38" priority="38" stopIfTrue="1">
      <formula>IF(WEEKDAY(AJ$5)=1,TRUE,FALSE)</formula>
    </cfRule>
  </conditionalFormatting>
  <conditionalFormatting sqref="AJ16:AJ17 AJ26:AJ29">
    <cfRule type="expression" dxfId="37" priority="37" stopIfTrue="1">
      <formula>IF(WEEKDAY(AJ$5)=1,TRUE,FALSE)</formula>
    </cfRule>
  </conditionalFormatting>
  <conditionalFormatting sqref="AJ11:AJ12">
    <cfRule type="expression" dxfId="36" priority="22" stopIfTrue="1">
      <formula>IF(WEEKDAY(AJ$5)=1,TRUE,FALSE)</formula>
    </cfRule>
  </conditionalFormatting>
  <conditionalFormatting sqref="AJ11:AJ12">
    <cfRule type="expression" dxfId="35" priority="21" stopIfTrue="1">
      <formula>IF(WEEKDAY(AJ$5)=1,TRUE,FALSE)</formula>
    </cfRule>
  </conditionalFormatting>
  <conditionalFormatting sqref="AJ22:AJ25">
    <cfRule type="expression" dxfId="34" priority="20" stopIfTrue="1">
      <formula>IF(WEEKDAY(AJ$5)=1,TRUE,FALSE)</formula>
    </cfRule>
  </conditionalFormatting>
  <conditionalFormatting sqref="AJ22:AJ25">
    <cfRule type="expression" dxfId="33" priority="19" stopIfTrue="1">
      <formula>IF(WEEKDAY(AJ$5)=1,TRUE,FALSE)</formula>
    </cfRule>
  </conditionalFormatting>
  <conditionalFormatting sqref="AJ22:AJ25">
    <cfRule type="expression" dxfId="32" priority="18" stopIfTrue="1">
      <formula>IF(WEEKDAY(AJ$5)=1,TRUE,FALSE)</formula>
    </cfRule>
  </conditionalFormatting>
  <conditionalFormatting sqref="AJ22:AJ25">
    <cfRule type="expression" dxfId="31" priority="17" stopIfTrue="1">
      <formula>IF(WEEKDAY(AJ$5)=1,TRUE,FALSE)</formula>
    </cfRule>
  </conditionalFormatting>
  <conditionalFormatting sqref="AJ22:AJ25">
    <cfRule type="expression" dxfId="30" priority="16" stopIfTrue="1">
      <formula>IF(WEEKDAY(AJ$5)=1,TRUE,FALSE)</formula>
    </cfRule>
  </conditionalFormatting>
  <conditionalFormatting sqref="AJ22:AJ25">
    <cfRule type="expression" dxfId="29" priority="15" stopIfTrue="1">
      <formula>IF(WEEKDAY(AJ$5)=1,TRUE,FALSE)</formula>
    </cfRule>
  </conditionalFormatting>
  <conditionalFormatting sqref="AJ22:AJ25">
    <cfRule type="expression" dxfId="28" priority="14" stopIfTrue="1">
      <formula>IF(WEEKDAY(AJ$5)=1,TRUE,FALSE)</formula>
    </cfRule>
  </conditionalFormatting>
  <conditionalFormatting sqref="AJ18:AJ21">
    <cfRule type="expression" dxfId="27" priority="11" stopIfTrue="1">
      <formula>IF(WEEKDAY(AJ$5)=1,TRUE,FALSE)</formula>
    </cfRule>
  </conditionalFormatting>
  <conditionalFormatting sqref="AJ18:AJ21">
    <cfRule type="expression" dxfId="26" priority="10" stopIfTrue="1">
      <formula>IF(WEEKDAY(AJ$5)=1,TRUE,FALSE)</formula>
    </cfRule>
  </conditionalFormatting>
  <conditionalFormatting sqref="AJ18:AJ21">
    <cfRule type="expression" dxfId="25" priority="9" stopIfTrue="1">
      <formula>IF(WEEKDAY(AJ$5)=1,TRUE,FALSE)</formula>
    </cfRule>
  </conditionalFormatting>
  <conditionalFormatting sqref="AJ18:AJ21">
    <cfRule type="expression" dxfId="24" priority="8" stopIfTrue="1">
      <formula>IF(WEEKDAY(AJ$5)=1,TRUE,FALSE)</formula>
    </cfRule>
  </conditionalFormatting>
  <conditionalFormatting sqref="AJ18:AJ21">
    <cfRule type="expression" dxfId="23" priority="7" stopIfTrue="1">
      <formula>IF(WEEKDAY(AJ$5)=1,TRUE,FALSE)</formula>
    </cfRule>
  </conditionalFormatting>
  <conditionalFormatting sqref="AJ18:AJ21">
    <cfRule type="expression" dxfId="22" priority="6" stopIfTrue="1">
      <formula>IF(WEEKDAY(AJ$5)=1,TRUE,FALSE)</formula>
    </cfRule>
  </conditionalFormatting>
  <conditionalFormatting sqref="AJ18:AJ21">
    <cfRule type="expression" dxfId="21" priority="5" stopIfTrue="1">
      <formula>IF(WEEKDAY(AJ$5)=1,TRUE,FALSE)</formula>
    </cfRule>
  </conditionalFormatting>
  <conditionalFormatting sqref="F16:AI29">
    <cfRule type="expression" dxfId="20" priority="2" stopIfTrue="1">
      <formula>IF(WEEKDAY(F$5)=1,TRUE,FALSE)</formula>
    </cfRule>
  </conditionalFormatting>
  <conditionalFormatting sqref="F16:AI29">
    <cfRule type="expression" dxfId="1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2" t="str">
        <f>"BẢNG THANH TOÁN LƯƠNG THÁNG"&amp;" "&amp;TEXT($E$4,"mm")&amp;" / "&amp;TEXT($E$4,"yyyy")</f>
        <v>BẢNG THANH TOÁN LƯƠNG THÁNG 09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MAX(F10:F24)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-9'!$E$4</f>
        <v>42614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01" t="s">
        <v>40</v>
      </c>
      <c r="G7" s="199" t="s">
        <v>18</v>
      </c>
      <c r="H7" s="201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Nguyễn Thị Thu Sương</v>
      </c>
      <c r="D10" s="116" t="str">
        <f t="shared" ref="D10:D12" si="1">VLOOKUP(B10,DS,3,0)</f>
        <v>Kinh Doanh</v>
      </c>
      <c r="E10" s="90">
        <f t="shared" ref="E10:E12" si="2">VLOOKUP(B10,DS,4,0)</f>
        <v>5200000</v>
      </c>
      <c r="F10" s="92">
        <f>VLOOKUP(B10,'CC -9'!$B$8:$AS$29,36,0)</f>
        <v>25</v>
      </c>
      <c r="G10" s="145">
        <f t="shared" ref="G10:G12" si="3">ROUND(E10/$U$2*F10,0)</f>
        <v>5200000</v>
      </c>
      <c r="H10" s="92">
        <f>(VLOOKUP(B10,'CC -9'!$B$8:$AS$29,37,0)+VLOOKUP(B10,'CC -9'!$B$8:$AS$29,38,0))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5200000</v>
      </c>
      <c r="L10" s="90">
        <f t="shared" ref="L10:L12" si="6">+F10*15000</f>
        <v>375000</v>
      </c>
      <c r="M10" s="40">
        <f t="shared" ref="M10:M12" si="7">K10+L10</f>
        <v>5575000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5575000</v>
      </c>
      <c r="R10" s="39">
        <f>VLOOKUP(B10,DS,23,0)</f>
        <v>0</v>
      </c>
      <c r="S10" s="45">
        <f t="shared" ref="S10:S12" si="9">Q10-R10</f>
        <v>5575000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10">VLOOKUP(B11,DS,2,0)</f>
        <v>Trần Anh Nhựt</v>
      </c>
      <c r="D11" s="116" t="str">
        <f t="shared" ref="D11" si="11">VLOOKUP(B11,DS,3,0)</f>
        <v>Thiết Kế</v>
      </c>
      <c r="E11" s="90">
        <f t="shared" ref="E11" si="12">VLOOKUP(B11,DS,4,0)</f>
        <v>5200000</v>
      </c>
      <c r="F11" s="92">
        <f>VLOOKUP(B11,'CC -9'!$B$8:$AS$29,36,0)</f>
        <v>25</v>
      </c>
      <c r="G11" s="145">
        <f t="shared" ref="G11" si="13">ROUND(E11/$U$2*F11,0)</f>
        <v>5200000</v>
      </c>
      <c r="H11" s="92">
        <f>(VLOOKUP(B11,'CC -9'!$B$8:$AS$29,37,0)+VLOOKUP(B11,'CC -9'!$B$8:$AS$29,38,0))</f>
        <v>0</v>
      </c>
      <c r="I11" s="145">
        <f t="shared" ref="I11" si="14">ROUND(E11/$U$2*H11,0)</f>
        <v>0</v>
      </c>
      <c r="J11" s="93">
        <f t="shared" ref="J11" si="15">F11+H11</f>
        <v>25</v>
      </c>
      <c r="K11" s="39">
        <f t="shared" ref="K11" si="16">G11+I11</f>
        <v>5200000</v>
      </c>
      <c r="L11" s="90">
        <f t="shared" ref="L11" si="17">+F11*15000</f>
        <v>375000</v>
      </c>
      <c r="M11" s="40">
        <f t="shared" ref="M11" si="18">K11+L11</f>
        <v>5575000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5575000</v>
      </c>
      <c r="R11" s="39">
        <f>VLOOKUP(B11,DS,23,0)</f>
        <v>0</v>
      </c>
      <c r="S11" s="45">
        <f t="shared" ref="S11" si="20">Q11-R11</f>
        <v>5575000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0"/>
        <v>Huỳnh Minh Toàn</v>
      </c>
      <c r="D12" s="116" t="str">
        <f t="shared" si="1"/>
        <v>Thủ Kho</v>
      </c>
      <c r="E12" s="90">
        <f t="shared" si="2"/>
        <v>5700000</v>
      </c>
      <c r="F12" s="92">
        <f>VLOOKUP(B12,'CC -9'!$B$8:$AS$29,36,0)</f>
        <v>25</v>
      </c>
      <c r="G12" s="145">
        <f t="shared" si="3"/>
        <v>5700000</v>
      </c>
      <c r="H12" s="92">
        <f>(VLOOKUP(B12,'CC -9'!$B$8:$AS$29,37,0)+VLOOKUP(B12,'CC -9'!$B$8:$AS$29,38,0))</f>
        <v>0</v>
      </c>
      <c r="I12" s="145">
        <f t="shared" si="4"/>
        <v>0</v>
      </c>
      <c r="J12" s="93">
        <f t="shared" si="5"/>
        <v>25</v>
      </c>
      <c r="K12" s="39">
        <f t="shared" si="5"/>
        <v>5700000</v>
      </c>
      <c r="L12" s="90">
        <f t="shared" si="6"/>
        <v>375000</v>
      </c>
      <c r="M12" s="40">
        <f t="shared" si="7"/>
        <v>6075000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6075000</v>
      </c>
      <c r="R12" s="39">
        <f>VLOOKUP(B12,DS,23,0)</f>
        <v>0</v>
      </c>
      <c r="S12" s="45">
        <f t="shared" si="9"/>
        <v>6075000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1">SUM(K9:K12)</f>
        <v>16100000</v>
      </c>
      <c r="L14" s="140">
        <f t="shared" si="21"/>
        <v>1125000</v>
      </c>
      <c r="M14" s="140">
        <f t="shared" si="21"/>
        <v>17225000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17225000</v>
      </c>
      <c r="R14" s="140">
        <f t="shared" si="21"/>
        <v>0</v>
      </c>
      <c r="S14" s="140">
        <f t="shared" si="21"/>
        <v>17225000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20" si="22">VLOOKUP(B16,DS,2,0)</f>
        <v>Nguyễn Trường Giang</v>
      </c>
      <c r="D16" s="116" t="str">
        <f t="shared" ref="D16:D20" si="23">VLOOKUP(B16,DS,3,0)</f>
        <v>Thợ in</v>
      </c>
      <c r="E16" s="90">
        <f t="shared" ref="E16:E20" si="24">VLOOKUP(B16,DS,4,0)</f>
        <v>5200000</v>
      </c>
      <c r="F16" s="92">
        <f>VLOOKUP(B16,'CC -9'!$B$8:$AS$29,36,0)</f>
        <v>25</v>
      </c>
      <c r="G16" s="145">
        <f t="shared" ref="G16:G20" si="25">ROUND(E16/$U$2*F16,0)</f>
        <v>5200000</v>
      </c>
      <c r="H16" s="92">
        <f>(VLOOKUP(B16,'CC -9'!$B$8:$AS$29,37,0)+VLOOKUP(B16,'CC -9'!$B$8:$AS$29,38,0))</f>
        <v>0</v>
      </c>
      <c r="I16" s="145">
        <f t="shared" ref="I16:I20" si="26">ROUND(E16/$U$2*H16,0)</f>
        <v>0</v>
      </c>
      <c r="J16" s="146">
        <f t="shared" ref="J16:K20" si="27">F16+H16</f>
        <v>25</v>
      </c>
      <c r="K16" s="39">
        <f t="shared" si="27"/>
        <v>5200000</v>
      </c>
      <c r="L16" s="90">
        <f t="shared" ref="L16:L20" si="28">+F16*15000</f>
        <v>375000</v>
      </c>
      <c r="M16" s="40">
        <f t="shared" ref="M16:M20" si="29">K16+L16</f>
        <v>5575000</v>
      </c>
      <c r="N16" s="40">
        <f>IF(VLOOKUP(B16,DS,9,0)="x",'L - 9'!E16*$N$4,0)</f>
        <v>0</v>
      </c>
      <c r="O16" s="40">
        <f t="shared" ref="O16:O20" si="30">IF(VLOOKUP(B16,DS,9,0)="x",E16*0.015,0)</f>
        <v>0</v>
      </c>
      <c r="P16" s="40">
        <f t="shared" ref="P16:P20" si="31">IF(VLOOKUP(B16,DS,9,0)="x",E16*0.01,0)</f>
        <v>0</v>
      </c>
      <c r="Q16" s="39">
        <f>M16-SUM(N16:P16)</f>
        <v>5575000</v>
      </c>
      <c r="R16" s="39">
        <f t="shared" ref="R16:R20" si="32">VLOOKUP(B16,DS,23,0)</f>
        <v>0</v>
      </c>
      <c r="S16" s="45">
        <f>Q16-R16</f>
        <v>5575000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18" si="33">VLOOKUP(B17,DS,2,0)</f>
        <v>Võ Văn Kiệt</v>
      </c>
      <c r="D17" s="116" t="str">
        <f t="shared" ref="D17:D18" si="34">VLOOKUP(B17,DS,3,0)</f>
        <v>Công Đoạn 1</v>
      </c>
      <c r="E17" s="90">
        <f t="shared" ref="E17:E18" si="35">VLOOKUP(B17,DS,4,0)</f>
        <v>5200000</v>
      </c>
      <c r="F17" s="92">
        <f>VLOOKUP(B17,'CC -9'!$B$8:$AS$29,36,0)</f>
        <v>25</v>
      </c>
      <c r="G17" s="145">
        <f t="shared" ref="G17:G18" si="36">ROUND(E17/$U$2*F17,0)</f>
        <v>5200000</v>
      </c>
      <c r="H17" s="92">
        <f>(VLOOKUP(B17,'CC -9'!$B$8:$AS$29,37,0)+VLOOKUP(B17,'CC -9'!$B$8:$AS$29,38,0))</f>
        <v>0</v>
      </c>
      <c r="I17" s="145">
        <f t="shared" ref="I17:I18" si="37">ROUND(E17/$U$2*H17,0)</f>
        <v>0</v>
      </c>
      <c r="J17" s="146">
        <f t="shared" ref="J17:J18" si="38">F17+H17</f>
        <v>25</v>
      </c>
      <c r="K17" s="39">
        <f t="shared" ref="K17:K18" si="39">G17+I17</f>
        <v>5200000</v>
      </c>
      <c r="L17" s="90">
        <f t="shared" ref="L17:L18" si="40">+F17*15000</f>
        <v>375000</v>
      </c>
      <c r="M17" s="40">
        <f t="shared" ref="M17:M18" si="41">K17+L17</f>
        <v>5575000</v>
      </c>
      <c r="N17" s="40">
        <f>IF(VLOOKUP(B17,DS,9,0)="x",'L - 9'!E17*$N$4,0)</f>
        <v>0</v>
      </c>
      <c r="O17" s="40">
        <f t="shared" ref="O17:O18" si="42">IF(VLOOKUP(B17,DS,9,0)="x",E17*0.015,0)</f>
        <v>0</v>
      </c>
      <c r="P17" s="40">
        <f t="shared" ref="P17:P18" si="43">IF(VLOOKUP(B17,DS,9,0)="x",E17*0.01,0)</f>
        <v>0</v>
      </c>
      <c r="Q17" s="39">
        <f t="shared" ref="Q17:Q18" si="44">M17-SUM(N17:P17)</f>
        <v>5575000</v>
      </c>
      <c r="R17" s="39">
        <f t="shared" ref="R17:R18" si="45">VLOOKUP(B17,DS,23,0)</f>
        <v>0</v>
      </c>
      <c r="S17" s="45">
        <f t="shared" ref="S17:S18" si="46">Q17-R17</f>
        <v>5575000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-9'!$B$8:$AS$29,36,0)</f>
        <v>25</v>
      </c>
      <c r="G18" s="145">
        <f t="shared" si="36"/>
        <v>4500000</v>
      </c>
      <c r="H18" s="92">
        <f>(VLOOKUP(B18,'CC -9'!$B$8:$AS$29,37,0)+VLOOKUP(B18,'CC -9'!$B$8:$AS$29,38,0))</f>
        <v>0</v>
      </c>
      <c r="I18" s="145">
        <f t="shared" si="37"/>
        <v>0</v>
      </c>
      <c r="J18" s="146">
        <f t="shared" si="38"/>
        <v>25</v>
      </c>
      <c r="K18" s="39">
        <f t="shared" si="39"/>
        <v>4500000</v>
      </c>
      <c r="L18" s="90">
        <f t="shared" si="40"/>
        <v>375000</v>
      </c>
      <c r="M18" s="40">
        <f t="shared" si="41"/>
        <v>4875000</v>
      </c>
      <c r="N18" s="40">
        <f>IF(VLOOKUP(B18,DS,9,0)="x",'L - 9'!E18*$N$4,0)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4875000</v>
      </c>
      <c r="R18" s="39">
        <f t="shared" si="45"/>
        <v>0</v>
      </c>
      <c r="S18" s="45">
        <f t="shared" si="46"/>
        <v>4875000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22"/>
        <v>Dương Thế Kiệt</v>
      </c>
      <c r="D19" s="116" t="str">
        <f t="shared" si="23"/>
        <v>Công Đoạn 1</v>
      </c>
      <c r="E19" s="90">
        <f t="shared" si="24"/>
        <v>4500000</v>
      </c>
      <c r="F19" s="92">
        <f>VLOOKUP(B19,'CC -9'!$B$8:$AS$29,36,0)</f>
        <v>25</v>
      </c>
      <c r="G19" s="145">
        <f t="shared" si="25"/>
        <v>4500000</v>
      </c>
      <c r="H19" s="92">
        <f>(VLOOKUP(B19,'CC -9'!$B$8:$AS$29,37,0)+VLOOKUP(B19,'CC -9'!$B$8:$AS$29,38,0))</f>
        <v>0</v>
      </c>
      <c r="I19" s="145">
        <f t="shared" si="26"/>
        <v>0</v>
      </c>
      <c r="J19" s="146">
        <f t="shared" si="27"/>
        <v>25</v>
      </c>
      <c r="K19" s="39">
        <f t="shared" si="27"/>
        <v>4500000</v>
      </c>
      <c r="L19" s="90">
        <f t="shared" si="28"/>
        <v>375000</v>
      </c>
      <c r="M19" s="40">
        <f t="shared" si="29"/>
        <v>4875000</v>
      </c>
      <c r="N19" s="40">
        <f>IF(VLOOKUP(B19,DS,9,0)="x",'L - 9'!E19*$N$4,0)</f>
        <v>0</v>
      </c>
      <c r="O19" s="40">
        <f t="shared" si="30"/>
        <v>0</v>
      </c>
      <c r="P19" s="40">
        <f t="shared" si="31"/>
        <v>0</v>
      </c>
      <c r="Q19" s="39">
        <f t="shared" ref="Q19:Q20" si="47">M19-SUM(N19:P19)</f>
        <v>4875000</v>
      </c>
      <c r="R19" s="39">
        <f t="shared" si="32"/>
        <v>0</v>
      </c>
      <c r="S19" s="45">
        <f t="shared" ref="S19:S20" si="48">Q19-R19</f>
        <v>4875000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22"/>
        <v>Lê Văn Hữu</v>
      </c>
      <c r="D20" s="116" t="str">
        <f t="shared" si="23"/>
        <v>Công Đoạn 2</v>
      </c>
      <c r="E20" s="90">
        <f t="shared" si="24"/>
        <v>5200000</v>
      </c>
      <c r="F20" s="92">
        <f>VLOOKUP(B20,'CC -9'!$B$8:$AS$29,36,0)</f>
        <v>25</v>
      </c>
      <c r="G20" s="145">
        <f t="shared" si="25"/>
        <v>5200000</v>
      </c>
      <c r="H20" s="92">
        <f>(VLOOKUP(B20,'CC -9'!$B$8:$AS$29,37,0)+VLOOKUP(B20,'CC -9'!$B$8:$AS$29,38,0))</f>
        <v>0</v>
      </c>
      <c r="I20" s="145">
        <f t="shared" si="26"/>
        <v>0</v>
      </c>
      <c r="J20" s="146">
        <f t="shared" si="27"/>
        <v>25</v>
      </c>
      <c r="K20" s="39">
        <f t="shared" si="27"/>
        <v>5200000</v>
      </c>
      <c r="L20" s="90">
        <f t="shared" si="28"/>
        <v>375000</v>
      </c>
      <c r="M20" s="40">
        <f t="shared" si="29"/>
        <v>5575000</v>
      </c>
      <c r="N20" s="40">
        <f>IF(VLOOKUP(B20,DS,9,0)="x",'L - 9'!E20*$N$4,0)</f>
        <v>0</v>
      </c>
      <c r="O20" s="40">
        <f t="shared" si="30"/>
        <v>0</v>
      </c>
      <c r="P20" s="40">
        <f t="shared" si="31"/>
        <v>0</v>
      </c>
      <c r="Q20" s="39">
        <f t="shared" si="47"/>
        <v>5575000</v>
      </c>
      <c r="R20" s="39">
        <f t="shared" si="32"/>
        <v>0</v>
      </c>
      <c r="S20" s="45">
        <f t="shared" si="48"/>
        <v>5575000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:C22" si="49">VLOOKUP(B21,DS,2,0)</f>
        <v>Bùi Trường Giang</v>
      </c>
      <c r="D21" s="116" t="str">
        <f t="shared" ref="D21:D22" si="50">VLOOKUP(B21,DS,3,0)</f>
        <v>Công Đoạn 2</v>
      </c>
      <c r="E21" s="90">
        <f t="shared" ref="E21:E22" si="51">VLOOKUP(B21,DS,4,0)</f>
        <v>4500000</v>
      </c>
      <c r="F21" s="92">
        <f>VLOOKUP(B21,'CC -9'!$B$8:$AS$29,36,0)</f>
        <v>25</v>
      </c>
      <c r="G21" s="145">
        <f t="shared" ref="G21:G22" si="52">ROUND(E21/$U$2*F21,0)</f>
        <v>4500000</v>
      </c>
      <c r="H21" s="92">
        <f>(VLOOKUP(B21,'CC -9'!$B$8:$AS$29,37,0)+VLOOKUP(B21,'CC -9'!$B$8:$AS$29,38,0))</f>
        <v>0</v>
      </c>
      <c r="I21" s="145">
        <f t="shared" ref="I21:I22" si="53">ROUND(E21/$U$2*H21,0)</f>
        <v>0</v>
      </c>
      <c r="J21" s="146">
        <f t="shared" ref="J21:J22" si="54">F21+H21</f>
        <v>25</v>
      </c>
      <c r="K21" s="39">
        <f t="shared" ref="K21:K22" si="55">G21+I21</f>
        <v>4500000</v>
      </c>
      <c r="L21" s="90">
        <f t="shared" ref="L21:L22" si="56">+F21*15000</f>
        <v>375000</v>
      </c>
      <c r="M21" s="40">
        <f t="shared" ref="M21:M22" si="57">K21+L21</f>
        <v>4875000</v>
      </c>
      <c r="N21" s="40">
        <f>IF(VLOOKUP(B21,DS,9,0)="x",'L - 9'!E21*$N$4,0)</f>
        <v>0</v>
      </c>
      <c r="O21" s="40">
        <f t="shared" ref="O21:O22" si="58">IF(VLOOKUP(B21,DS,9,0)="x",E21*0.015,0)</f>
        <v>0</v>
      </c>
      <c r="P21" s="40">
        <f t="shared" ref="P21:P22" si="59">IF(VLOOKUP(B21,DS,9,0)="x",E21*0.01,0)</f>
        <v>0</v>
      </c>
      <c r="Q21" s="39">
        <f t="shared" ref="Q21:Q22" si="60">M21-SUM(N21:P21)</f>
        <v>4875000</v>
      </c>
      <c r="R21" s="39">
        <f t="shared" ref="R21:R22" si="61">VLOOKUP(B21,DS,23,0)</f>
        <v>0</v>
      </c>
      <c r="S21" s="45">
        <f t="shared" ref="S21:S22" si="62">Q21-R21</f>
        <v>4875000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49"/>
        <v>Nguyễn T Bích Thủy</v>
      </c>
      <c r="D22" s="116" t="str">
        <f t="shared" si="50"/>
        <v>Công Đoạn 2</v>
      </c>
      <c r="E22" s="90">
        <f t="shared" si="51"/>
        <v>4500000</v>
      </c>
      <c r="F22" s="92">
        <f>VLOOKUP(B22,'CC -9'!$B$8:$AS$29,36,0)</f>
        <v>25</v>
      </c>
      <c r="G22" s="145">
        <f t="shared" si="52"/>
        <v>4500000</v>
      </c>
      <c r="H22" s="92">
        <f>(VLOOKUP(B22,'CC -9'!$B$8:$AS$29,37,0)+VLOOKUP(B22,'CC -9'!$B$8:$AS$29,38,0))</f>
        <v>0</v>
      </c>
      <c r="I22" s="145">
        <f t="shared" si="53"/>
        <v>0</v>
      </c>
      <c r="J22" s="146">
        <f t="shared" si="54"/>
        <v>25</v>
      </c>
      <c r="K22" s="39">
        <f t="shared" si="55"/>
        <v>4500000</v>
      </c>
      <c r="L22" s="90">
        <f t="shared" si="56"/>
        <v>375000</v>
      </c>
      <c r="M22" s="40">
        <f t="shared" si="57"/>
        <v>4875000</v>
      </c>
      <c r="N22" s="40">
        <f>IF(VLOOKUP(B22,DS,9,0)="x",'L - 9'!E22*$N$4,0)</f>
        <v>0</v>
      </c>
      <c r="O22" s="40">
        <f t="shared" si="58"/>
        <v>0</v>
      </c>
      <c r="P22" s="40">
        <f t="shared" si="59"/>
        <v>0</v>
      </c>
      <c r="Q22" s="39">
        <f t="shared" si="60"/>
        <v>4875000</v>
      </c>
      <c r="R22" s="39">
        <f t="shared" si="61"/>
        <v>0</v>
      </c>
      <c r="S22" s="45">
        <f t="shared" si="62"/>
        <v>4875000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3">SUM(K15:K23)</f>
        <v>33600000</v>
      </c>
      <c r="L24" s="140">
        <f t="shared" si="63"/>
        <v>2625000</v>
      </c>
      <c r="M24" s="140">
        <f t="shared" si="63"/>
        <v>36225000</v>
      </c>
      <c r="N24" s="140">
        <f t="shared" si="63"/>
        <v>0</v>
      </c>
      <c r="O24" s="140">
        <f t="shared" si="63"/>
        <v>0</v>
      </c>
      <c r="P24" s="140">
        <f t="shared" si="63"/>
        <v>0</v>
      </c>
      <c r="Q24" s="140">
        <f t="shared" si="63"/>
        <v>36225000</v>
      </c>
      <c r="R24" s="140">
        <f t="shared" si="63"/>
        <v>0</v>
      </c>
      <c r="S24" s="140">
        <f t="shared" si="63"/>
        <v>36225000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09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6" sqref="F16:AJ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42644</v>
      </c>
      <c r="G5" s="118">
        <f t="shared" ref="G5:AJ5" si="0">F5+1</f>
        <v>42645</v>
      </c>
      <c r="H5" s="118">
        <f t="shared" si="0"/>
        <v>42646</v>
      </c>
      <c r="I5" s="118">
        <f t="shared" si="0"/>
        <v>42647</v>
      </c>
      <c r="J5" s="118">
        <f t="shared" si="0"/>
        <v>42648</v>
      </c>
      <c r="K5" s="118">
        <f t="shared" si="0"/>
        <v>42649</v>
      </c>
      <c r="L5" s="118">
        <f t="shared" si="0"/>
        <v>42650</v>
      </c>
      <c r="M5" s="118">
        <f t="shared" si="0"/>
        <v>42651</v>
      </c>
      <c r="N5" s="118">
        <f t="shared" si="0"/>
        <v>42652</v>
      </c>
      <c r="O5" s="118">
        <f t="shared" si="0"/>
        <v>42653</v>
      </c>
      <c r="P5" s="118">
        <f t="shared" si="0"/>
        <v>42654</v>
      </c>
      <c r="Q5" s="118">
        <f t="shared" si="0"/>
        <v>42655</v>
      </c>
      <c r="R5" s="118">
        <f t="shared" si="0"/>
        <v>42656</v>
      </c>
      <c r="S5" s="118">
        <f t="shared" si="0"/>
        <v>42657</v>
      </c>
      <c r="T5" s="118">
        <f t="shared" si="0"/>
        <v>42658</v>
      </c>
      <c r="U5" s="118">
        <f t="shared" si="0"/>
        <v>42659</v>
      </c>
      <c r="V5" s="118">
        <f t="shared" si="0"/>
        <v>42660</v>
      </c>
      <c r="W5" s="118">
        <f t="shared" si="0"/>
        <v>42661</v>
      </c>
      <c r="X5" s="118">
        <f t="shared" si="0"/>
        <v>42662</v>
      </c>
      <c r="Y5" s="118">
        <f t="shared" si="0"/>
        <v>42663</v>
      </c>
      <c r="Z5" s="118">
        <f t="shared" si="0"/>
        <v>42664</v>
      </c>
      <c r="AA5" s="118">
        <f t="shared" si="0"/>
        <v>42665</v>
      </c>
      <c r="AB5" s="118">
        <f t="shared" si="0"/>
        <v>42666</v>
      </c>
      <c r="AC5" s="118">
        <f t="shared" si="0"/>
        <v>42667</v>
      </c>
      <c r="AD5" s="118">
        <f t="shared" si="0"/>
        <v>42668</v>
      </c>
      <c r="AE5" s="118">
        <f t="shared" si="0"/>
        <v>42669</v>
      </c>
      <c r="AF5" s="118">
        <f t="shared" si="0"/>
        <v>42670</v>
      </c>
      <c r="AG5" s="118">
        <f t="shared" si="0"/>
        <v>42671</v>
      </c>
      <c r="AH5" s="118">
        <f>AG5+1</f>
        <v>42672</v>
      </c>
      <c r="AI5" s="118">
        <f t="shared" si="0"/>
        <v>42673</v>
      </c>
      <c r="AJ5" s="118">
        <f t="shared" si="0"/>
        <v>42674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T.Bảy</v>
      </c>
      <c r="G6" s="174" t="str">
        <f t="shared" ref="G6:AJ6" si="1">CHOOSE(WEEKDAY(G5),"C.Nhật","T.Hai","T.Ba","T.Tư","T.Năm","T.Sáu","T.Bảy")</f>
        <v>C.Nhật</v>
      </c>
      <c r="H6" s="174" t="str">
        <f t="shared" si="1"/>
        <v>T.Hai</v>
      </c>
      <c r="I6" s="174" t="str">
        <f t="shared" si="1"/>
        <v>T.Ba</v>
      </c>
      <c r="J6" s="174" t="str">
        <f t="shared" si="1"/>
        <v>T.Tư</v>
      </c>
      <c r="K6" s="174" t="str">
        <f t="shared" si="1"/>
        <v>T.Năm</v>
      </c>
      <c r="L6" s="174" t="str">
        <f t="shared" si="1"/>
        <v>T.Sáu</v>
      </c>
      <c r="M6" s="174" t="str">
        <f t="shared" si="1"/>
        <v>T.Bảy</v>
      </c>
      <c r="N6" s="174" t="str">
        <f t="shared" si="1"/>
        <v>C.Nhật</v>
      </c>
      <c r="O6" s="174" t="str">
        <f t="shared" si="1"/>
        <v>T.Hai</v>
      </c>
      <c r="P6" s="174" t="str">
        <f t="shared" si="1"/>
        <v>T.Ba</v>
      </c>
      <c r="Q6" s="174" t="str">
        <f t="shared" si="1"/>
        <v>T.Tư</v>
      </c>
      <c r="R6" s="174" t="str">
        <f t="shared" si="1"/>
        <v>T.Năm</v>
      </c>
      <c r="S6" s="174" t="str">
        <f t="shared" si="1"/>
        <v>T.Sáu</v>
      </c>
      <c r="T6" s="174" t="str">
        <f t="shared" si="1"/>
        <v>T.Bảy</v>
      </c>
      <c r="U6" s="174" t="str">
        <f t="shared" si="1"/>
        <v>C.Nhật</v>
      </c>
      <c r="V6" s="174" t="str">
        <f t="shared" si="1"/>
        <v>T.Hai</v>
      </c>
      <c r="W6" s="174" t="str">
        <f t="shared" si="1"/>
        <v>T.Ba</v>
      </c>
      <c r="X6" s="174" t="str">
        <f t="shared" si="1"/>
        <v>T.Tư</v>
      </c>
      <c r="Y6" s="174" t="str">
        <f t="shared" si="1"/>
        <v>T.Năm</v>
      </c>
      <c r="Z6" s="174" t="str">
        <f t="shared" si="1"/>
        <v>T.Sáu</v>
      </c>
      <c r="AA6" s="174" t="str">
        <f t="shared" si="1"/>
        <v>T.Bảy</v>
      </c>
      <c r="AB6" s="174" t="str">
        <f t="shared" si="1"/>
        <v>C.Nhật</v>
      </c>
      <c r="AC6" s="174" t="str">
        <f t="shared" si="1"/>
        <v>T.Hai</v>
      </c>
      <c r="AD6" s="174" t="str">
        <f t="shared" si="1"/>
        <v>T.Ba</v>
      </c>
      <c r="AE6" s="174" t="str">
        <f t="shared" si="1"/>
        <v>T.Tư</v>
      </c>
      <c r="AF6" s="174" t="str">
        <f t="shared" si="1"/>
        <v>T.Năm</v>
      </c>
      <c r="AG6" s="174" t="str">
        <f t="shared" si="1"/>
        <v>T.Sáu</v>
      </c>
      <c r="AH6" s="174" t="str">
        <f t="shared" si="1"/>
        <v>T.Bảy</v>
      </c>
      <c r="AI6" s="174" t="str">
        <f t="shared" si="1"/>
        <v>C.Nhật</v>
      </c>
      <c r="AJ6" s="174" t="str">
        <f t="shared" si="1"/>
        <v>T.Hai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172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26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>
        <v>8</v>
      </c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26</v>
      </c>
      <c r="AO13" s="250">
        <v>0</v>
      </c>
      <c r="AP13" s="248"/>
      <c r="AQ13" s="248"/>
      <c r="AR13" s="248"/>
      <c r="AS13" s="258"/>
      <c r="AT13" s="21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21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26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26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26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>
        <v>8</v>
      </c>
      <c r="AK22" s="244">
        <f t="shared" ref="AK22" si="17">((SUM(F22:AJ22))/8)-(SUMIF($F$6:$AJ$6,"C.Nhật",F22:AJ22)/8)</f>
        <v>26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 t="shared" ref="AN22" si="19">SUM(AK22:AM23)</f>
        <v>26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>
        <v>8</v>
      </c>
      <c r="AK24" s="244">
        <f t="shared" ref="AK24" si="20">((SUM(F24:AJ24))/8)-(SUMIF($F$6:$AJ$6,"C.Nhật",F24:AJ24)/8)</f>
        <v>26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26</v>
      </c>
      <c r="AO24" s="250">
        <v>0</v>
      </c>
      <c r="AP24" s="248"/>
      <c r="AQ24" s="248"/>
      <c r="AR24" s="248"/>
      <c r="AS24" s="258"/>
      <c r="AT24" s="22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/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/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/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/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/>
      <c r="AJ26" s="143">
        <v>8</v>
      </c>
      <c r="AK26" s="244">
        <f t="shared" ref="AK26" si="23">((SUM(F26:AJ26))/8)-(SUMIF($F$6:$AJ$6,"C.Nhật",F26:AJ26)/8)</f>
        <v>26</v>
      </c>
      <c r="AL26" s="244">
        <f t="shared" ref="AL26" si="24">SUM(F27:AJ27)/8*1.5</f>
        <v>0</v>
      </c>
      <c r="AM26" s="246">
        <f>SUMIF($F$6:$AJ$6,"C.Nhật",$F26:$AJ27)/8*2</f>
        <v>0</v>
      </c>
      <c r="AN26" s="248">
        <f t="shared" ref="AN26" si="25">SUM(AK26:AM27)</f>
        <v>26</v>
      </c>
      <c r="AO26" s="250">
        <v>0</v>
      </c>
      <c r="AP26" s="248"/>
      <c r="AQ26" s="248"/>
      <c r="AR26" s="248"/>
      <c r="AS26" s="258"/>
      <c r="AT26" s="22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/>
      <c r="H28" s="143">
        <v>8</v>
      </c>
      <c r="I28" s="143">
        <v>8</v>
      </c>
      <c r="J28" s="143">
        <v>8</v>
      </c>
      <c r="K28" s="143">
        <v>8</v>
      </c>
      <c r="L28" s="143">
        <v>8</v>
      </c>
      <c r="M28" s="143">
        <v>8</v>
      </c>
      <c r="N28" s="143"/>
      <c r="O28" s="143">
        <v>8</v>
      </c>
      <c r="P28" s="143">
        <v>8</v>
      </c>
      <c r="Q28" s="143">
        <v>8</v>
      </c>
      <c r="R28" s="143">
        <v>8</v>
      </c>
      <c r="S28" s="143">
        <v>8</v>
      </c>
      <c r="T28" s="143">
        <v>8</v>
      </c>
      <c r="U28" s="143"/>
      <c r="V28" s="143">
        <v>8</v>
      </c>
      <c r="W28" s="143">
        <v>8</v>
      </c>
      <c r="X28" s="143">
        <v>8</v>
      </c>
      <c r="Y28" s="143">
        <v>8</v>
      </c>
      <c r="Z28" s="143">
        <v>8</v>
      </c>
      <c r="AA28" s="143">
        <v>8</v>
      </c>
      <c r="AB28" s="143"/>
      <c r="AC28" s="143">
        <v>8</v>
      </c>
      <c r="AD28" s="143">
        <v>8</v>
      </c>
      <c r="AE28" s="143">
        <v>8</v>
      </c>
      <c r="AF28" s="143">
        <v>8</v>
      </c>
      <c r="AG28" s="143">
        <v>8</v>
      </c>
      <c r="AH28" s="143">
        <v>8</v>
      </c>
      <c r="AI28" s="143"/>
      <c r="AJ28" s="143">
        <v>8</v>
      </c>
      <c r="AK28" s="244">
        <f t="shared" ref="AK28" si="26">((SUM(F28:AJ28))/8)-(SUMIF($F$6:$AJ$6,"C.Nhật",F28:AJ28)/8)</f>
        <v>26</v>
      </c>
      <c r="AL28" s="244">
        <f t="shared" ref="AL28" si="27">SUM(F29:AJ29)/8*1.5</f>
        <v>0</v>
      </c>
      <c r="AM28" s="246">
        <f>SUMIF($F$6:$AJ$6,"C.Nhật",$F28:$AJ29)/8*2</f>
        <v>0</v>
      </c>
      <c r="AN28" s="248">
        <f t="shared" ref="AN28" si="28">SUM(AK28:AM29)</f>
        <v>26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91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91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91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91" s="73" customFormat="1" ht="12.75">
      <c r="A37" s="2"/>
      <c r="B37" s="2" t="s">
        <v>0</v>
      </c>
      <c r="C37" s="2"/>
      <c r="D37" s="214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91" s="73" customFormat="1" ht="12.75">
      <c r="A38" s="2"/>
      <c r="B38" s="2"/>
      <c r="C38" s="2" t="s">
        <v>46</v>
      </c>
      <c r="D38" s="214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4" customFormat="1" ht="15" customHeight="1">
      <c r="A41" s="2"/>
      <c r="B41" s="2"/>
      <c r="C41" s="2" t="s">
        <v>49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4" customFormat="1" ht="15" customHeight="1">
      <c r="A42" s="2"/>
      <c r="B42" s="2"/>
      <c r="C42" s="2" t="s">
        <v>50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4" customFormat="1" ht="15" customHeight="1">
      <c r="A43" s="2"/>
      <c r="B43" s="2"/>
      <c r="C43" s="2" t="s">
        <v>51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4" customFormat="1" ht="15" customHeight="1">
      <c r="A44" s="2"/>
      <c r="B44" s="2"/>
      <c r="C44" s="2" t="s">
        <v>52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4" customFormat="1" ht="15" customHeight="1">
      <c r="A45" s="2"/>
      <c r="B45" s="2"/>
      <c r="C45" s="2" t="s">
        <v>53</v>
      </c>
      <c r="E45" s="2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4"/>
      <c r="AI45" s="124"/>
      <c r="AJ45" s="124"/>
      <c r="AK45" s="2"/>
      <c r="AL45" s="2"/>
      <c r="AM45" s="10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4" customFormat="1" ht="15" customHeight="1">
      <c r="A46" s="2"/>
      <c r="B46" s="2"/>
      <c r="C46" s="2" t="s">
        <v>54</v>
      </c>
      <c r="E46" s="2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4"/>
      <c r="AI46" s="124"/>
      <c r="AJ46" s="124"/>
      <c r="AK46" s="2"/>
      <c r="AL46" s="2"/>
      <c r="AM46" s="10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6:A27"/>
    <mergeCell ref="B26:B27"/>
    <mergeCell ref="C26:C27"/>
    <mergeCell ref="D26:D27"/>
    <mergeCell ref="AK26:AK27"/>
    <mergeCell ref="AO16:AO17"/>
    <mergeCell ref="A28:A29"/>
    <mergeCell ref="B28:B29"/>
    <mergeCell ref="C28:C29"/>
    <mergeCell ref="D28:D29"/>
    <mergeCell ref="AK28:AK29"/>
    <mergeCell ref="A16:A17"/>
    <mergeCell ref="AS28:AS29"/>
    <mergeCell ref="AL28:AL29"/>
    <mergeCell ref="AM28:AM29"/>
    <mergeCell ref="AN28:AN29"/>
    <mergeCell ref="AO28:AO29"/>
    <mergeCell ref="AP28:AP29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16:AL17"/>
    <mergeCell ref="AM16:AM17"/>
    <mergeCell ref="AN16:AN17"/>
    <mergeCell ref="AQ16:AQ17"/>
    <mergeCell ref="AR16:AR17"/>
    <mergeCell ref="AL24:AL25"/>
    <mergeCell ref="AM24:AM25"/>
    <mergeCell ref="AQ28:AQ29"/>
    <mergeCell ref="AR28:AR2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3:AS14"/>
    <mergeCell ref="A13:A14"/>
    <mergeCell ref="B13:B14"/>
    <mergeCell ref="C13:C14"/>
    <mergeCell ref="D13:D14"/>
    <mergeCell ref="AK13:AK14"/>
    <mergeCell ref="AO13:AO14"/>
    <mergeCell ref="AP13:AP14"/>
    <mergeCell ref="AQ13:AQ14"/>
    <mergeCell ref="AR13:AR14"/>
    <mergeCell ref="B11:B12"/>
    <mergeCell ref="C11:C12"/>
    <mergeCell ref="D11:D12"/>
    <mergeCell ref="AK11:AK12"/>
    <mergeCell ref="D16:D17"/>
    <mergeCell ref="AK16:AK17"/>
    <mergeCell ref="AP16:AP17"/>
    <mergeCell ref="AL13:AL14"/>
    <mergeCell ref="AM13:AM14"/>
    <mergeCell ref="AN13:AN14"/>
    <mergeCell ref="B16:B17"/>
    <mergeCell ref="C16:C17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AS24:AS2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20:A21"/>
    <mergeCell ref="B20:B21"/>
    <mergeCell ref="AN24:AN25"/>
    <mergeCell ref="AO24:AO25"/>
    <mergeCell ref="AP24:AP25"/>
    <mergeCell ref="AQ24:AQ25"/>
    <mergeCell ref="AR24:AR25"/>
    <mergeCell ref="A24:A25"/>
    <mergeCell ref="B24:B25"/>
    <mergeCell ref="C24:C25"/>
    <mergeCell ref="AS20:AS21"/>
    <mergeCell ref="AN20:AN21"/>
    <mergeCell ref="AO20:AO21"/>
    <mergeCell ref="AP20:AP21"/>
    <mergeCell ref="AQ20:AQ21"/>
    <mergeCell ref="AR20:AR21"/>
    <mergeCell ref="C20:C21"/>
    <mergeCell ref="D20:D21"/>
    <mergeCell ref="AK20:AK21"/>
    <mergeCell ref="AL20:AL21"/>
    <mergeCell ref="AM20:AM21"/>
  </mergeCells>
  <conditionalFormatting sqref="F5:AJ6 F9:AJ14">
    <cfRule type="expression" dxfId="18" priority="38" stopIfTrue="1">
      <formula>IF(WEEKDAY(F$5)=1,TRUE,FALSE)</formula>
    </cfRule>
  </conditionalFormatting>
  <conditionalFormatting sqref="F9:AJ14">
    <cfRule type="expression" dxfId="17" priority="37" stopIfTrue="1">
      <formula>IF(WEEKDAY(F$5)=1,TRUE,FALSE)</formula>
    </cfRule>
  </conditionalFormatting>
  <conditionalFormatting sqref="F16:AJ29">
    <cfRule type="expression" dxfId="16" priority="2" stopIfTrue="1">
      <formula>IF(WEEKDAY(F$5)=1,TRUE,FALSE)</formula>
    </cfRule>
  </conditionalFormatting>
  <conditionalFormatting sqref="F16:AJ29">
    <cfRule type="expression" dxfId="1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2" t="str">
        <f>"BẢNG THANH TOÁN LƯƠNG THÁNG"&amp;" "&amp;TEXT($E$4,"mm")&amp;" / "&amp;TEXT($E$4,"yyyy")</f>
        <v>BẢNG THANH TOÁN LƯƠNG THÁNG 10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MAX(F10:F24)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-10'!$E$4</f>
        <v>42644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18" t="s">
        <v>40</v>
      </c>
      <c r="G7" s="215" t="s">
        <v>18</v>
      </c>
      <c r="H7" s="218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Nguyễn Thị Thu Sương</v>
      </c>
      <c r="D10" s="116" t="str">
        <f t="shared" ref="D10:D12" si="1">VLOOKUP(B10,DS,3,0)</f>
        <v>Kinh Doanh</v>
      </c>
      <c r="E10" s="90">
        <f t="shared" ref="E10:E12" si="2">VLOOKUP(B10,DS,4,0)</f>
        <v>5200000</v>
      </c>
      <c r="F10" s="92">
        <f>VLOOKUP(B10,'CC -10'!$B$8:$AS$29,36,0)</f>
        <v>26</v>
      </c>
      <c r="G10" s="145">
        <f t="shared" ref="G10:G12" si="3">ROUND(E10/$U$2*F10,0)</f>
        <v>5200000</v>
      </c>
      <c r="H10" s="92">
        <f>(VLOOKUP(B10,'CC -10'!$B$8:$AS$29,37,0)+VLOOKUP(B10,'CC -10'!$B$8:$AS$29,38,0))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5200000</v>
      </c>
      <c r="L10" s="90">
        <f t="shared" ref="L10:L12" si="6">+F10*15000</f>
        <v>390000</v>
      </c>
      <c r="M10" s="40">
        <f t="shared" ref="M10:M12" si="7">K10+L10</f>
        <v>5590000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5590000</v>
      </c>
      <c r="R10" s="39">
        <f>VLOOKUP(B10,DS,23,0)</f>
        <v>0</v>
      </c>
      <c r="S10" s="45">
        <f t="shared" ref="S10:S12" si="9">Q10-R10</f>
        <v>5590000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10">VLOOKUP(B11,DS,2,0)</f>
        <v>Trần Anh Nhựt</v>
      </c>
      <c r="D11" s="116" t="str">
        <f t="shared" ref="D11" si="11">VLOOKUP(B11,DS,3,0)</f>
        <v>Thiết Kế</v>
      </c>
      <c r="E11" s="90">
        <f t="shared" ref="E11" si="12">VLOOKUP(B11,DS,4,0)</f>
        <v>5200000</v>
      </c>
      <c r="F11" s="92">
        <f>VLOOKUP(B11,'CC -10'!$B$8:$AS$29,36,0)</f>
        <v>26</v>
      </c>
      <c r="G11" s="145">
        <f t="shared" ref="G11" si="13">ROUND(E11/$U$2*F11,0)</f>
        <v>5200000</v>
      </c>
      <c r="H11" s="92">
        <f>(VLOOKUP(B11,'CC -10'!$B$8:$AS$29,37,0)+VLOOKUP(B11,'CC -10'!$B$8:$AS$29,38,0))</f>
        <v>0</v>
      </c>
      <c r="I11" s="145">
        <f t="shared" ref="I11" si="14">ROUND(E11/$U$2*H11,0)</f>
        <v>0</v>
      </c>
      <c r="J11" s="93">
        <f t="shared" ref="J11" si="15">F11+H11</f>
        <v>26</v>
      </c>
      <c r="K11" s="39">
        <f t="shared" ref="K11" si="16">G11+I11</f>
        <v>5200000</v>
      </c>
      <c r="L11" s="90">
        <f t="shared" ref="L11" si="17">+F11*15000</f>
        <v>390000</v>
      </c>
      <c r="M11" s="40">
        <f t="shared" ref="M11" si="18">K11+L11</f>
        <v>5590000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5590000</v>
      </c>
      <c r="R11" s="39">
        <f>VLOOKUP(B11,DS,23,0)</f>
        <v>0</v>
      </c>
      <c r="S11" s="45">
        <f t="shared" ref="S11" si="20">Q11-R11</f>
        <v>5590000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0"/>
        <v>Huỳnh Minh Toàn</v>
      </c>
      <c r="D12" s="116" t="str">
        <f t="shared" si="1"/>
        <v>Thủ Kho</v>
      </c>
      <c r="E12" s="90">
        <f t="shared" si="2"/>
        <v>5700000</v>
      </c>
      <c r="F12" s="92">
        <f>VLOOKUP(B12,'CC -10'!$B$8:$AS$29,36,0)</f>
        <v>26</v>
      </c>
      <c r="G12" s="145">
        <f t="shared" si="3"/>
        <v>5700000</v>
      </c>
      <c r="H12" s="92">
        <f>(VLOOKUP(B12,'CC -10'!$B$8:$AS$29,37,0)+VLOOKUP(B12,'CC -10'!$B$8:$AS$29,38,0))</f>
        <v>0</v>
      </c>
      <c r="I12" s="145">
        <f t="shared" si="4"/>
        <v>0</v>
      </c>
      <c r="J12" s="93">
        <f t="shared" si="5"/>
        <v>26</v>
      </c>
      <c r="K12" s="39">
        <f t="shared" si="5"/>
        <v>5700000</v>
      </c>
      <c r="L12" s="90">
        <f t="shared" si="6"/>
        <v>390000</v>
      </c>
      <c r="M12" s="40">
        <f t="shared" si="7"/>
        <v>6090000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6090000</v>
      </c>
      <c r="R12" s="39">
        <f>VLOOKUP(B12,DS,23,0)</f>
        <v>0</v>
      </c>
      <c r="S12" s="45">
        <f t="shared" si="9"/>
        <v>6090000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SUM(E9:E12)</f>
        <v>16100000</v>
      </c>
      <c r="F14" s="140"/>
      <c r="G14" s="140">
        <f>SUM(G9:G12)</f>
        <v>16100000</v>
      </c>
      <c r="H14" s="140"/>
      <c r="I14" s="140">
        <f>SUM(I9:I12)</f>
        <v>0</v>
      </c>
      <c r="J14" s="140"/>
      <c r="K14" s="140">
        <f t="shared" ref="K14:S14" si="21">SUM(K9:K12)</f>
        <v>16100000</v>
      </c>
      <c r="L14" s="140">
        <f t="shared" si="21"/>
        <v>1170000</v>
      </c>
      <c r="M14" s="140">
        <f t="shared" si="21"/>
        <v>17270000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17270000</v>
      </c>
      <c r="R14" s="140">
        <f t="shared" si="21"/>
        <v>0</v>
      </c>
      <c r="S14" s="140">
        <f t="shared" si="21"/>
        <v>17270000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20" si="22">VLOOKUP(B16,DS,2,0)</f>
        <v>Nguyễn Trường Giang</v>
      </c>
      <c r="D16" s="116" t="str">
        <f t="shared" ref="D16:D20" si="23">VLOOKUP(B16,DS,3,0)</f>
        <v>Thợ in</v>
      </c>
      <c r="E16" s="90">
        <f t="shared" ref="E16:E20" si="24">VLOOKUP(B16,DS,4,0)</f>
        <v>5200000</v>
      </c>
      <c r="F16" s="92">
        <f>VLOOKUP(B16,'CC -10'!$B$8:$AS$29,36,0)</f>
        <v>26</v>
      </c>
      <c r="G16" s="145">
        <f t="shared" ref="G16:G20" si="25">ROUND(E16/$U$2*F16,0)</f>
        <v>5200000</v>
      </c>
      <c r="H16" s="92">
        <f>(VLOOKUP(B16,'CC -10'!$B$8:$AS$29,37,0)+VLOOKUP(B16,'CC -10'!$B$8:$AS$29,38,0))</f>
        <v>0</v>
      </c>
      <c r="I16" s="145">
        <f t="shared" ref="I16:I20" si="26">ROUND(E16/$U$2*H16,0)</f>
        <v>0</v>
      </c>
      <c r="J16" s="146">
        <f t="shared" ref="J16:K20" si="27">F16+H16</f>
        <v>26</v>
      </c>
      <c r="K16" s="39">
        <f t="shared" si="27"/>
        <v>5200000</v>
      </c>
      <c r="L16" s="90">
        <f t="shared" ref="L16:L20" si="28">+F16*15000</f>
        <v>390000</v>
      </c>
      <c r="M16" s="40">
        <f t="shared" ref="M16:M20" si="29">K16+L16</f>
        <v>5590000</v>
      </c>
      <c r="N16" s="40">
        <f>IF(VLOOKUP(B16,DS,9,0)="x",'L - 10'!E16*$N$4,0)</f>
        <v>0</v>
      </c>
      <c r="O16" s="40">
        <f t="shared" ref="O16:O20" si="30">IF(VLOOKUP(B16,DS,9,0)="x",E16*0.015,0)</f>
        <v>0</v>
      </c>
      <c r="P16" s="40">
        <f t="shared" ref="P16:P20" si="31">IF(VLOOKUP(B16,DS,9,0)="x",E16*0.01,0)</f>
        <v>0</v>
      </c>
      <c r="Q16" s="39">
        <f>M16-SUM(N16:P16)</f>
        <v>5590000</v>
      </c>
      <c r="R16" s="39">
        <f t="shared" ref="R16:R20" si="32">VLOOKUP(B16,DS,23,0)</f>
        <v>0</v>
      </c>
      <c r="S16" s="45">
        <f>Q16-R16</f>
        <v>5590000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18" si="33">VLOOKUP(B17,DS,2,0)</f>
        <v>Võ Văn Kiệt</v>
      </c>
      <c r="D17" s="116" t="str">
        <f t="shared" ref="D17:D18" si="34">VLOOKUP(B17,DS,3,0)</f>
        <v>Công Đoạn 1</v>
      </c>
      <c r="E17" s="90">
        <f t="shared" ref="E17:E18" si="35">VLOOKUP(B17,DS,4,0)</f>
        <v>5200000</v>
      </c>
      <c r="F17" s="92">
        <f>VLOOKUP(B17,'CC -10'!$B$8:$AS$29,36,0)</f>
        <v>26</v>
      </c>
      <c r="G17" s="145">
        <f t="shared" ref="G17:G18" si="36">ROUND(E17/$U$2*F17,0)</f>
        <v>5200000</v>
      </c>
      <c r="H17" s="92">
        <f>(VLOOKUP(B17,'CC -10'!$B$8:$AS$29,37,0)+VLOOKUP(B17,'CC -10'!$B$8:$AS$29,38,0))</f>
        <v>0</v>
      </c>
      <c r="I17" s="145">
        <f t="shared" ref="I17:I18" si="37">ROUND(E17/$U$2*H17,0)</f>
        <v>0</v>
      </c>
      <c r="J17" s="146">
        <f t="shared" ref="J17:J18" si="38">F17+H17</f>
        <v>26</v>
      </c>
      <c r="K17" s="39">
        <f t="shared" ref="K17:K18" si="39">G17+I17</f>
        <v>5200000</v>
      </c>
      <c r="L17" s="90">
        <f t="shared" ref="L17:L18" si="40">+F17*15000</f>
        <v>390000</v>
      </c>
      <c r="M17" s="40">
        <f t="shared" ref="M17:M18" si="41">K17+L17</f>
        <v>5590000</v>
      </c>
      <c r="N17" s="40">
        <f>IF(VLOOKUP(B17,DS,9,0)="x",'L - 10'!E17*$N$4,0)</f>
        <v>0</v>
      </c>
      <c r="O17" s="40">
        <f t="shared" ref="O17:O18" si="42">IF(VLOOKUP(B17,DS,9,0)="x",E17*0.015,0)</f>
        <v>0</v>
      </c>
      <c r="P17" s="40">
        <f t="shared" ref="P17:P18" si="43">IF(VLOOKUP(B17,DS,9,0)="x",E17*0.01,0)</f>
        <v>0</v>
      </c>
      <c r="Q17" s="39">
        <f t="shared" ref="Q17:Q18" si="44">M17-SUM(N17:P17)</f>
        <v>5590000</v>
      </c>
      <c r="R17" s="39">
        <f t="shared" ref="R17:R18" si="45">VLOOKUP(B17,DS,23,0)</f>
        <v>0</v>
      </c>
      <c r="S17" s="45">
        <f t="shared" ref="S17:S18" si="46">Q17-R17</f>
        <v>5590000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-10'!$B$8:$AS$29,36,0)</f>
        <v>26</v>
      </c>
      <c r="G18" s="145">
        <f t="shared" si="36"/>
        <v>4500000</v>
      </c>
      <c r="H18" s="92">
        <f>(VLOOKUP(B18,'CC -10'!$B$8:$AS$29,37,0)+VLOOKUP(B18,'CC -10'!$B$8:$AS$29,38,0))</f>
        <v>0</v>
      </c>
      <c r="I18" s="145">
        <f t="shared" si="37"/>
        <v>0</v>
      </c>
      <c r="J18" s="146">
        <f t="shared" si="38"/>
        <v>26</v>
      </c>
      <c r="K18" s="39">
        <f t="shared" si="39"/>
        <v>4500000</v>
      </c>
      <c r="L18" s="90">
        <f t="shared" si="40"/>
        <v>390000</v>
      </c>
      <c r="M18" s="40">
        <f t="shared" si="41"/>
        <v>4890000</v>
      </c>
      <c r="N18" s="40">
        <f>IF(VLOOKUP(B18,DS,9,0)="x",'L - 10'!E18*$N$4,0)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4890000</v>
      </c>
      <c r="R18" s="39">
        <f t="shared" si="45"/>
        <v>0</v>
      </c>
      <c r="S18" s="45">
        <f t="shared" si="46"/>
        <v>4890000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22"/>
        <v>Dương Thế Kiệt</v>
      </c>
      <c r="D19" s="116" t="str">
        <f t="shared" si="23"/>
        <v>Công Đoạn 1</v>
      </c>
      <c r="E19" s="90">
        <f t="shared" si="24"/>
        <v>4500000</v>
      </c>
      <c r="F19" s="92">
        <f>VLOOKUP(B19,'CC -10'!$B$8:$AS$29,36,0)</f>
        <v>26</v>
      </c>
      <c r="G19" s="145">
        <f t="shared" si="25"/>
        <v>4500000</v>
      </c>
      <c r="H19" s="92">
        <f>(VLOOKUP(B19,'CC -10'!$B$8:$AS$29,37,0)+VLOOKUP(B19,'CC -10'!$B$8:$AS$29,38,0))</f>
        <v>0</v>
      </c>
      <c r="I19" s="145">
        <f t="shared" si="26"/>
        <v>0</v>
      </c>
      <c r="J19" s="146">
        <f t="shared" si="27"/>
        <v>26</v>
      </c>
      <c r="K19" s="39">
        <f t="shared" si="27"/>
        <v>4500000</v>
      </c>
      <c r="L19" s="90">
        <f t="shared" si="28"/>
        <v>390000</v>
      </c>
      <c r="M19" s="40">
        <f t="shared" si="29"/>
        <v>4890000</v>
      </c>
      <c r="N19" s="40">
        <f>IF(VLOOKUP(B19,DS,9,0)="x",'L - 10'!E19*$N$4,0)</f>
        <v>0</v>
      </c>
      <c r="O19" s="40">
        <f t="shared" si="30"/>
        <v>0</v>
      </c>
      <c r="P19" s="40">
        <f t="shared" si="31"/>
        <v>0</v>
      </c>
      <c r="Q19" s="39">
        <f t="shared" ref="Q19:Q20" si="47">M19-SUM(N19:P19)</f>
        <v>4890000</v>
      </c>
      <c r="R19" s="39">
        <f t="shared" si="32"/>
        <v>0</v>
      </c>
      <c r="S19" s="45">
        <f t="shared" ref="S19:S20" si="48">Q19-R19</f>
        <v>4890000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22"/>
        <v>Lê Văn Hữu</v>
      </c>
      <c r="D20" s="116" t="str">
        <f t="shared" si="23"/>
        <v>Công Đoạn 2</v>
      </c>
      <c r="E20" s="90">
        <f t="shared" si="24"/>
        <v>5200000</v>
      </c>
      <c r="F20" s="92">
        <f>VLOOKUP(B20,'CC -10'!$B$8:$AS$29,36,0)</f>
        <v>26</v>
      </c>
      <c r="G20" s="145">
        <f t="shared" si="25"/>
        <v>5200000</v>
      </c>
      <c r="H20" s="92">
        <f>(VLOOKUP(B20,'CC -10'!$B$8:$AS$29,37,0)+VLOOKUP(B20,'CC -10'!$B$8:$AS$29,38,0))</f>
        <v>0</v>
      </c>
      <c r="I20" s="145">
        <f t="shared" si="26"/>
        <v>0</v>
      </c>
      <c r="J20" s="146">
        <f t="shared" si="27"/>
        <v>26</v>
      </c>
      <c r="K20" s="39">
        <f t="shared" si="27"/>
        <v>5200000</v>
      </c>
      <c r="L20" s="90">
        <f t="shared" si="28"/>
        <v>390000</v>
      </c>
      <c r="M20" s="40">
        <f t="shared" si="29"/>
        <v>5590000</v>
      </c>
      <c r="N20" s="40">
        <f>IF(VLOOKUP(B20,DS,9,0)="x",'L - 10'!E20*$N$4,0)</f>
        <v>0</v>
      </c>
      <c r="O20" s="40">
        <f t="shared" si="30"/>
        <v>0</v>
      </c>
      <c r="P20" s="40">
        <f t="shared" si="31"/>
        <v>0</v>
      </c>
      <c r="Q20" s="39">
        <f t="shared" si="47"/>
        <v>5590000</v>
      </c>
      <c r="R20" s="39">
        <f t="shared" si="32"/>
        <v>0</v>
      </c>
      <c r="S20" s="45">
        <f t="shared" si="48"/>
        <v>5590000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:C22" si="49">VLOOKUP(B21,DS,2,0)</f>
        <v>Bùi Trường Giang</v>
      </c>
      <c r="D21" s="116" t="str">
        <f t="shared" ref="D21:D22" si="50">VLOOKUP(B21,DS,3,0)</f>
        <v>Công Đoạn 2</v>
      </c>
      <c r="E21" s="90">
        <f t="shared" ref="E21:E22" si="51">VLOOKUP(B21,DS,4,0)</f>
        <v>4500000</v>
      </c>
      <c r="F21" s="92">
        <f>VLOOKUP(B21,'CC -10'!$B$8:$AS$29,36,0)</f>
        <v>26</v>
      </c>
      <c r="G21" s="145">
        <f t="shared" ref="G21:G22" si="52">ROUND(E21/$U$2*F21,0)</f>
        <v>4500000</v>
      </c>
      <c r="H21" s="92">
        <f>(VLOOKUP(B21,'CC -10'!$B$8:$AS$29,37,0)+VLOOKUP(B21,'CC -10'!$B$8:$AS$29,38,0))</f>
        <v>0</v>
      </c>
      <c r="I21" s="145">
        <f t="shared" ref="I21:I22" si="53">ROUND(E21/$U$2*H21,0)</f>
        <v>0</v>
      </c>
      <c r="J21" s="146">
        <f t="shared" ref="J21:J22" si="54">F21+H21</f>
        <v>26</v>
      </c>
      <c r="K21" s="39">
        <f t="shared" ref="K21:K22" si="55">G21+I21</f>
        <v>4500000</v>
      </c>
      <c r="L21" s="90">
        <f t="shared" ref="L21:L22" si="56">+F21*15000</f>
        <v>390000</v>
      </c>
      <c r="M21" s="40">
        <f t="shared" ref="M21:M22" si="57">K21+L21</f>
        <v>4890000</v>
      </c>
      <c r="N21" s="40">
        <f>IF(VLOOKUP(B21,DS,9,0)="x",'L - 10'!E21*$N$4,0)</f>
        <v>0</v>
      </c>
      <c r="O21" s="40">
        <f t="shared" ref="O21:O22" si="58">IF(VLOOKUP(B21,DS,9,0)="x",E21*0.015,0)</f>
        <v>0</v>
      </c>
      <c r="P21" s="40">
        <f t="shared" ref="P21:P22" si="59">IF(VLOOKUP(B21,DS,9,0)="x",E21*0.01,0)</f>
        <v>0</v>
      </c>
      <c r="Q21" s="39">
        <f t="shared" ref="Q21:Q22" si="60">M21-SUM(N21:P21)</f>
        <v>4890000</v>
      </c>
      <c r="R21" s="39">
        <f t="shared" ref="R21:R22" si="61">VLOOKUP(B21,DS,23,0)</f>
        <v>0</v>
      </c>
      <c r="S21" s="45">
        <f t="shared" ref="S21:S22" si="62">Q21-R21</f>
        <v>4890000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49"/>
        <v>Nguyễn T Bích Thủy</v>
      </c>
      <c r="D22" s="116" t="str">
        <f t="shared" si="50"/>
        <v>Công Đoạn 2</v>
      </c>
      <c r="E22" s="90">
        <f t="shared" si="51"/>
        <v>4500000</v>
      </c>
      <c r="F22" s="92">
        <f>VLOOKUP(B22,'CC -10'!$B$8:$AS$29,36,0)</f>
        <v>26</v>
      </c>
      <c r="G22" s="145">
        <f t="shared" si="52"/>
        <v>4500000</v>
      </c>
      <c r="H22" s="92">
        <f>(VLOOKUP(B22,'CC -10'!$B$8:$AS$29,37,0)+VLOOKUP(B22,'CC -10'!$B$8:$AS$29,38,0))</f>
        <v>0</v>
      </c>
      <c r="I22" s="145">
        <f t="shared" si="53"/>
        <v>0</v>
      </c>
      <c r="J22" s="146">
        <f t="shared" si="54"/>
        <v>26</v>
      </c>
      <c r="K22" s="39">
        <f t="shared" si="55"/>
        <v>4500000</v>
      </c>
      <c r="L22" s="90">
        <f t="shared" si="56"/>
        <v>390000</v>
      </c>
      <c r="M22" s="40">
        <f t="shared" si="57"/>
        <v>4890000</v>
      </c>
      <c r="N22" s="40">
        <f>IF(VLOOKUP(B22,DS,9,0)="x",'L - 10'!E22*$N$4,0)</f>
        <v>0</v>
      </c>
      <c r="O22" s="40">
        <f t="shared" si="58"/>
        <v>0</v>
      </c>
      <c r="P22" s="40">
        <f t="shared" si="59"/>
        <v>0</v>
      </c>
      <c r="Q22" s="39">
        <f t="shared" si="60"/>
        <v>4890000</v>
      </c>
      <c r="R22" s="39">
        <f t="shared" si="61"/>
        <v>0</v>
      </c>
      <c r="S22" s="45">
        <f t="shared" si="62"/>
        <v>4890000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3">SUM(K15:K23)</f>
        <v>33600000</v>
      </c>
      <c r="L24" s="140">
        <f t="shared" si="63"/>
        <v>2730000</v>
      </c>
      <c r="M24" s="140">
        <f t="shared" si="63"/>
        <v>36330000</v>
      </c>
      <c r="N24" s="140">
        <f t="shared" si="63"/>
        <v>0</v>
      </c>
      <c r="O24" s="140">
        <f t="shared" si="63"/>
        <v>0</v>
      </c>
      <c r="P24" s="140">
        <f t="shared" si="63"/>
        <v>0</v>
      </c>
      <c r="Q24" s="140">
        <f t="shared" si="63"/>
        <v>36330000</v>
      </c>
      <c r="R24" s="140">
        <f t="shared" si="63"/>
        <v>0</v>
      </c>
      <c r="S24" s="140">
        <f t="shared" si="63"/>
        <v>36330000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10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6" sqref="F16:AI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42675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42675</v>
      </c>
      <c r="G5" s="118">
        <f t="shared" ref="G5:AI5" si="0">F5+1</f>
        <v>42676</v>
      </c>
      <c r="H5" s="118">
        <f t="shared" si="0"/>
        <v>42677</v>
      </c>
      <c r="I5" s="118">
        <f t="shared" si="0"/>
        <v>42678</v>
      </c>
      <c r="J5" s="118">
        <f t="shared" si="0"/>
        <v>42679</v>
      </c>
      <c r="K5" s="118">
        <f t="shared" si="0"/>
        <v>42680</v>
      </c>
      <c r="L5" s="118">
        <f t="shared" si="0"/>
        <v>42681</v>
      </c>
      <c r="M5" s="118">
        <f t="shared" si="0"/>
        <v>42682</v>
      </c>
      <c r="N5" s="118">
        <f t="shared" si="0"/>
        <v>42683</v>
      </c>
      <c r="O5" s="118">
        <f t="shared" si="0"/>
        <v>42684</v>
      </c>
      <c r="P5" s="118">
        <f t="shared" si="0"/>
        <v>42685</v>
      </c>
      <c r="Q5" s="118">
        <f t="shared" si="0"/>
        <v>42686</v>
      </c>
      <c r="R5" s="118">
        <f t="shared" si="0"/>
        <v>42687</v>
      </c>
      <c r="S5" s="118">
        <f t="shared" si="0"/>
        <v>42688</v>
      </c>
      <c r="T5" s="118">
        <f t="shared" si="0"/>
        <v>42689</v>
      </c>
      <c r="U5" s="118">
        <f t="shared" si="0"/>
        <v>42690</v>
      </c>
      <c r="V5" s="118">
        <f t="shared" si="0"/>
        <v>42691</v>
      </c>
      <c r="W5" s="118">
        <f t="shared" si="0"/>
        <v>42692</v>
      </c>
      <c r="X5" s="118">
        <f t="shared" si="0"/>
        <v>42693</v>
      </c>
      <c r="Y5" s="118">
        <f t="shared" si="0"/>
        <v>42694</v>
      </c>
      <c r="Z5" s="118">
        <f t="shared" si="0"/>
        <v>42695</v>
      </c>
      <c r="AA5" s="118">
        <f t="shared" si="0"/>
        <v>42696</v>
      </c>
      <c r="AB5" s="118">
        <f t="shared" si="0"/>
        <v>42697</v>
      </c>
      <c r="AC5" s="118">
        <f t="shared" si="0"/>
        <v>42698</v>
      </c>
      <c r="AD5" s="118">
        <f t="shared" si="0"/>
        <v>42699</v>
      </c>
      <c r="AE5" s="118">
        <f t="shared" si="0"/>
        <v>42700</v>
      </c>
      <c r="AF5" s="118">
        <f t="shared" si="0"/>
        <v>42701</v>
      </c>
      <c r="AG5" s="118">
        <f t="shared" si="0"/>
        <v>42702</v>
      </c>
      <c r="AH5" s="118">
        <f>AG5+1</f>
        <v>42703</v>
      </c>
      <c r="AI5" s="118">
        <f t="shared" si="0"/>
        <v>42704</v>
      </c>
      <c r="AJ5" s="226"/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T.Ba</v>
      </c>
      <c r="G6" s="174" t="str">
        <f t="shared" ref="G6:AI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/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/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172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227"/>
      <c r="AK9" s="244">
        <f>((SUM(F9:AI9))/8)-(SUMIF($F$6:$AI$6,"C.Nhật",F9:AI9)/8)</f>
        <v>26</v>
      </c>
      <c r="AL9" s="244">
        <f>SUM(F10:AI10)/8*1.5</f>
        <v>0</v>
      </c>
      <c r="AM9" s="246">
        <f>SUMIF($F$6:$AI$6,"C.Nhật",$F9:$AI10)/8*2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28"/>
      <c r="AK10" s="245"/>
      <c r="AL10" s="245"/>
      <c r="AM10" s="247"/>
      <c r="AN10" s="249"/>
      <c r="AO10" s="251"/>
      <c r="AP10" s="249"/>
      <c r="AQ10" s="249"/>
      <c r="AR10" s="249"/>
      <c r="AS10" s="25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227"/>
      <c r="AK11" s="244">
        <f>((SUM(F11:AI11))/8)-(SUMIF($F$6:$AI$6,"C.Nhật",F11:AI11)/8)</f>
        <v>26</v>
      </c>
      <c r="AL11" s="244">
        <f>SUM(F12:AI12)/8*1.5</f>
        <v>0</v>
      </c>
      <c r="AM11" s="246">
        <f>SUMIF($F$6:$AI$6,"C.Nhật",$F11:$AI12)/8*2</f>
        <v>0</v>
      </c>
      <c r="AN11" s="248">
        <f t="shared" ref="AN11" si="2">SUM(AK11:AM12)</f>
        <v>26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28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227"/>
      <c r="AK13" s="244">
        <f>((SUM(F13:AI13))/8)-(SUMIF($F$6:$AI$6,"C.Nhật",F13:AI13)/8)</f>
        <v>26</v>
      </c>
      <c r="AL13" s="244">
        <f>SUM(F14:AI14)/8*1.5</f>
        <v>0</v>
      </c>
      <c r="AM13" s="246">
        <f>SUMIF($F$6:$AI$6,"C.Nhật",$F13:$AI14)/8*2</f>
        <v>0</v>
      </c>
      <c r="AN13" s="248">
        <f t="shared" ref="AN13" si="3">SUM(AK13:AM14)</f>
        <v>26</v>
      </c>
      <c r="AO13" s="250">
        <v>0</v>
      </c>
      <c r="AP13" s="248"/>
      <c r="AQ13" s="248"/>
      <c r="AR13" s="248"/>
      <c r="AS13" s="258"/>
      <c r="AT13" s="21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228"/>
      <c r="AK14" s="245"/>
      <c r="AL14" s="245"/>
      <c r="AM14" s="247"/>
      <c r="AN14" s="249"/>
      <c r="AO14" s="251"/>
      <c r="AP14" s="249"/>
      <c r="AQ14" s="249"/>
      <c r="AR14" s="249"/>
      <c r="AS14" s="259"/>
      <c r="AT14" s="21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227"/>
      <c r="AK16" s="244">
        <f>((SUM(F16:AI16))/8)-(SUMIF($F$6:$AI$6,"C.Nhật",F16:AI16)/8)</f>
        <v>26</v>
      </c>
      <c r="AL16" s="244">
        <f>SUM(F17:AI17)/8*1.5</f>
        <v>0</v>
      </c>
      <c r="AM16" s="246">
        <f>SUMIF($F$6:$AI$6,"C.Nhật",$F16:$AI17)/8*2</f>
        <v>0</v>
      </c>
      <c r="AN16" s="248">
        <f>SUM(AK16:AM17)</f>
        <v>26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28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227"/>
      <c r="AK18" s="244">
        <f>((SUM(F18:AI18))/8)-(SUMIF($F$6:$AI$6,"C.Nhật",F18:AI18)/8)</f>
        <v>26</v>
      </c>
      <c r="AL18" s="244">
        <f>SUM(F19:AI19)/8*1.5</f>
        <v>0</v>
      </c>
      <c r="AM18" s="246">
        <f>SUMIF($F$6:$AI$6,"C.Nhật",$F18:$AI19)/8*2</f>
        <v>0</v>
      </c>
      <c r="AN18" s="248">
        <f t="shared" ref="AN18" si="4">SUM(AK18:AM19)</f>
        <v>26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28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227"/>
      <c r="AK20" s="244">
        <f>((SUM(F20:AI20))/8)-(SUMIF($F$6:$AI$6,"C.Nhật",F20:AI20)/8)</f>
        <v>26</v>
      </c>
      <c r="AL20" s="244">
        <f>SUM(F21:AI21)/8*1.5</f>
        <v>0</v>
      </c>
      <c r="AM20" s="246">
        <f>SUMIF($F$6:$AI$6,"C.Nhật",$F20:$AI21)/8*2</f>
        <v>0</v>
      </c>
      <c r="AN20" s="248">
        <f t="shared" ref="AN20" si="5">SUM(AK20:AM21)</f>
        <v>26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228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/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/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/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/>
      <c r="AG22" s="143">
        <v>8</v>
      </c>
      <c r="AH22" s="143">
        <v>8</v>
      </c>
      <c r="AI22" s="143">
        <v>8</v>
      </c>
      <c r="AJ22" s="227"/>
      <c r="AK22" s="244">
        <f>((SUM(F22:AI22))/8)-(SUMIF($F$6:$AI$6,"C.Nhật",F22:AI22)/8)</f>
        <v>26</v>
      </c>
      <c r="AL22" s="244">
        <f>SUM(F23:AI23)/8*1.5</f>
        <v>0</v>
      </c>
      <c r="AM22" s="246">
        <f>SUMIF($F$6:$AI$6,"C.Nhật",$F22:$AI23)/8*2</f>
        <v>0</v>
      </c>
      <c r="AN22" s="248">
        <f t="shared" ref="AN22" si="6">SUM(AK22:AM23)</f>
        <v>26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228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/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/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/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/>
      <c r="AG24" s="143">
        <v>8</v>
      </c>
      <c r="AH24" s="143">
        <v>8</v>
      </c>
      <c r="AI24" s="143">
        <v>8</v>
      </c>
      <c r="AJ24" s="227"/>
      <c r="AK24" s="244">
        <f>((SUM(F24:AI24))/8)-(SUMIF($F$6:$AI$6,"C.Nhật",F24:AI24)/8)</f>
        <v>26</v>
      </c>
      <c r="AL24" s="244">
        <f>SUM(F25:AI25)/8*1.5</f>
        <v>0</v>
      </c>
      <c r="AM24" s="246">
        <f>SUMIF($F$6:$AI$6,"C.Nhật",$F24:$AI25)/8*2</f>
        <v>0</v>
      </c>
      <c r="AN24" s="248">
        <f t="shared" ref="AN24" si="7">SUM(AK24:AM25)</f>
        <v>26</v>
      </c>
      <c r="AO24" s="250">
        <v>0</v>
      </c>
      <c r="AP24" s="248"/>
      <c r="AQ24" s="248"/>
      <c r="AR24" s="248"/>
      <c r="AS24" s="258"/>
      <c r="AT24" s="22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228"/>
      <c r="AK25" s="245"/>
      <c r="AL25" s="245"/>
      <c r="AM25" s="247"/>
      <c r="AN25" s="249"/>
      <c r="AO25" s="251"/>
      <c r="AP25" s="249"/>
      <c r="AQ25" s="249"/>
      <c r="AR25" s="249"/>
      <c r="AS25" s="259"/>
      <c r="AT25" s="22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>
        <v>8</v>
      </c>
      <c r="K26" s="143"/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>
        <v>8</v>
      </c>
      <c r="R26" s="143"/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/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/>
      <c r="AG26" s="143">
        <v>8</v>
      </c>
      <c r="AH26" s="143">
        <v>8</v>
      </c>
      <c r="AI26" s="143">
        <v>8</v>
      </c>
      <c r="AJ26" s="227"/>
      <c r="AK26" s="244">
        <f>((SUM(F26:AI26))/8)-(SUMIF($F$6:$AI$6,"C.Nhật",F26:AI26)/8)</f>
        <v>26</v>
      </c>
      <c r="AL26" s="244">
        <f>SUM(F27:AI27)/8*1.5</f>
        <v>0</v>
      </c>
      <c r="AM26" s="246">
        <f>SUMIF($F$6:$AI$6,"C.Nhật",$F26:$AI27)/8*2</f>
        <v>0</v>
      </c>
      <c r="AN26" s="248">
        <f t="shared" ref="AN26" si="8">SUM(AK26:AM27)</f>
        <v>26</v>
      </c>
      <c r="AO26" s="250">
        <v>0</v>
      </c>
      <c r="AP26" s="248"/>
      <c r="AQ26" s="248"/>
      <c r="AR26" s="248"/>
      <c r="AS26" s="258"/>
      <c r="AT26" s="22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228"/>
      <c r="AK27" s="245"/>
      <c r="AL27" s="245"/>
      <c r="AM27" s="247"/>
      <c r="AN27" s="249"/>
      <c r="AO27" s="251"/>
      <c r="AP27" s="249"/>
      <c r="AQ27" s="249"/>
      <c r="AR27" s="249"/>
      <c r="AS27" s="259"/>
      <c r="AT27" s="22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>
        <v>8</v>
      </c>
      <c r="H28" s="143">
        <v>8</v>
      </c>
      <c r="I28" s="143">
        <v>8</v>
      </c>
      <c r="J28" s="143">
        <v>8</v>
      </c>
      <c r="K28" s="143"/>
      <c r="L28" s="143">
        <v>8</v>
      </c>
      <c r="M28" s="143">
        <v>8</v>
      </c>
      <c r="N28" s="143">
        <v>8</v>
      </c>
      <c r="O28" s="143">
        <v>8</v>
      </c>
      <c r="P28" s="143">
        <v>8</v>
      </c>
      <c r="Q28" s="143">
        <v>8</v>
      </c>
      <c r="R28" s="143"/>
      <c r="S28" s="143">
        <v>8</v>
      </c>
      <c r="T28" s="143">
        <v>8</v>
      </c>
      <c r="U28" s="143">
        <v>8</v>
      </c>
      <c r="V28" s="143">
        <v>8</v>
      </c>
      <c r="W28" s="143">
        <v>8</v>
      </c>
      <c r="X28" s="143">
        <v>8</v>
      </c>
      <c r="Y28" s="143"/>
      <c r="Z28" s="143">
        <v>8</v>
      </c>
      <c r="AA28" s="143">
        <v>8</v>
      </c>
      <c r="AB28" s="143">
        <v>8</v>
      </c>
      <c r="AC28" s="143">
        <v>8</v>
      </c>
      <c r="AD28" s="143">
        <v>8</v>
      </c>
      <c r="AE28" s="143">
        <v>8</v>
      </c>
      <c r="AF28" s="143"/>
      <c r="AG28" s="143">
        <v>8</v>
      </c>
      <c r="AH28" s="143">
        <v>8</v>
      </c>
      <c r="AI28" s="143">
        <v>8</v>
      </c>
      <c r="AJ28" s="227"/>
      <c r="AK28" s="244">
        <f>((SUM(F28:AI28))/8)-(SUMIF($F$6:$AI$6,"C.Nhật",F28:AI28)/8)</f>
        <v>26</v>
      </c>
      <c r="AL28" s="244">
        <f>SUM(F29:AI29)/8*1.5</f>
        <v>0</v>
      </c>
      <c r="AM28" s="246">
        <f>SUMIF($F$6:$AI$6,"C.Nhật",$F28:$AI29)/8*2</f>
        <v>0</v>
      </c>
      <c r="AN28" s="248">
        <f t="shared" ref="AN28" si="9">SUM(AK28:AM29)</f>
        <v>26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228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91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91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91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91" s="73" customFormat="1" ht="12.75">
      <c r="A37" s="2"/>
      <c r="B37" s="2" t="s">
        <v>0</v>
      </c>
      <c r="C37" s="2"/>
      <c r="D37" s="214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91" s="73" customFormat="1" ht="12.75">
      <c r="A38" s="2"/>
      <c r="B38" s="2"/>
      <c r="C38" s="2" t="s">
        <v>46</v>
      </c>
      <c r="D38" s="214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4" customFormat="1" ht="15" customHeight="1">
      <c r="A41" s="2"/>
      <c r="B41" s="2"/>
      <c r="C41" s="2" t="s">
        <v>49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4" customFormat="1" ht="15" customHeight="1">
      <c r="A42" s="2"/>
      <c r="B42" s="2"/>
      <c r="C42" s="2" t="s">
        <v>50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4" customFormat="1" ht="15" customHeight="1">
      <c r="A43" s="2"/>
      <c r="B43" s="2"/>
      <c r="C43" s="2" t="s">
        <v>51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4" customFormat="1" ht="15" customHeight="1">
      <c r="A44" s="2"/>
      <c r="B44" s="2"/>
      <c r="C44" s="2" t="s">
        <v>52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4" customFormat="1" ht="15" customHeight="1">
      <c r="A45" s="2"/>
      <c r="B45" s="2"/>
      <c r="C45" s="2" t="s">
        <v>53</v>
      </c>
      <c r="E45" s="2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4"/>
      <c r="AI45" s="124"/>
      <c r="AJ45" s="124"/>
      <c r="AK45" s="2"/>
      <c r="AL45" s="2"/>
      <c r="AM45" s="10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4" customFormat="1" ht="15" customHeight="1">
      <c r="A46" s="2"/>
      <c r="B46" s="2"/>
      <c r="C46" s="2" t="s">
        <v>54</v>
      </c>
      <c r="E46" s="2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4"/>
      <c r="AI46" s="124"/>
      <c r="AJ46" s="124"/>
      <c r="AK46" s="2"/>
      <c r="AL46" s="2"/>
      <c r="AM46" s="10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8:A29"/>
    <mergeCell ref="B28:B29"/>
    <mergeCell ref="C28:C29"/>
    <mergeCell ref="D28:D29"/>
    <mergeCell ref="AK28:AK29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C13:C14"/>
    <mergeCell ref="D13:D14"/>
    <mergeCell ref="AK13:AK14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D26:D27"/>
    <mergeCell ref="AK26:AK2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28:AM29"/>
    <mergeCell ref="AN28:AN29"/>
    <mergeCell ref="AO28:AO29"/>
    <mergeCell ref="AP28:AP29"/>
    <mergeCell ref="AQ28:AQ2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Q16:AQ17"/>
    <mergeCell ref="A13:A14"/>
    <mergeCell ref="B13:B14"/>
    <mergeCell ref="D11:D12"/>
    <mergeCell ref="AK11:AK12"/>
    <mergeCell ref="AM13:AM14"/>
    <mergeCell ref="AN13:AN14"/>
    <mergeCell ref="AO13:AO14"/>
    <mergeCell ref="AP13:AP14"/>
    <mergeCell ref="AQ13:AQ14"/>
    <mergeCell ref="AL16:AL17"/>
    <mergeCell ref="AM16:AM17"/>
    <mergeCell ref="AN16:AN17"/>
    <mergeCell ref="AO16:AO17"/>
    <mergeCell ref="AP16:AP17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D24:D25"/>
    <mergeCell ref="AK24:AK25"/>
    <mergeCell ref="AL24:AL25"/>
    <mergeCell ref="AM24:AM25"/>
    <mergeCell ref="AN24:AN25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0:AO21"/>
    <mergeCell ref="AP20:AP21"/>
    <mergeCell ref="AQ20:AQ21"/>
    <mergeCell ref="AR20:AR21"/>
    <mergeCell ref="AS20:AS21"/>
    <mergeCell ref="D20:D21"/>
    <mergeCell ref="AK20:AK21"/>
    <mergeCell ref="AL20:AL21"/>
    <mergeCell ref="AM20:AM21"/>
    <mergeCell ref="AN20:AN21"/>
  </mergeCells>
  <conditionalFormatting sqref="F5:AJ6 AJ13:AJ14 F9:AJ10 F11:AI14">
    <cfRule type="expression" dxfId="14" priority="66" stopIfTrue="1">
      <formula>IF(WEEKDAY(F$5)=1,TRUE,FALSE)</formula>
    </cfRule>
  </conditionalFormatting>
  <conditionalFormatting sqref="AJ13:AJ14">
    <cfRule type="expression" dxfId="13" priority="65" stopIfTrue="1">
      <formula>IF(WEEKDAY(AJ$5)=1,TRUE,FALSE)</formula>
    </cfRule>
  </conditionalFormatting>
  <conditionalFormatting sqref="AJ16:AJ17 AJ26:AJ29">
    <cfRule type="expression" dxfId="12" priority="17" stopIfTrue="1">
      <formula>IF(WEEKDAY(AJ$5)=1,TRUE,FALSE)</formula>
    </cfRule>
  </conditionalFormatting>
  <conditionalFormatting sqref="AJ26:AJ27">
    <cfRule type="expression" dxfId="11" priority="16" stopIfTrue="1">
      <formula>IF(WEEKDAY(AJ$5)=1,TRUE,FALSE)</formula>
    </cfRule>
  </conditionalFormatting>
  <conditionalFormatting sqref="AJ11:AJ12">
    <cfRule type="expression" dxfId="10" priority="11" stopIfTrue="1">
      <formula>IF(WEEKDAY(AJ$5)=1,TRUE,FALSE)</formula>
    </cfRule>
  </conditionalFormatting>
  <conditionalFormatting sqref="AJ11:AJ12">
    <cfRule type="expression" dxfId="9" priority="10" stopIfTrue="1">
      <formula>IF(WEEKDAY(AJ$5)=1,TRUE,FALSE)</formula>
    </cfRule>
  </conditionalFormatting>
  <conditionalFormatting sqref="AJ22:AJ25">
    <cfRule type="expression" dxfId="8" priority="9" stopIfTrue="1">
      <formula>IF(WEEKDAY(AJ$5)=1,TRUE,FALSE)</formula>
    </cfRule>
  </conditionalFormatting>
  <conditionalFormatting sqref="AJ22:AJ23">
    <cfRule type="expression" dxfId="7" priority="8" stopIfTrue="1">
      <formula>IF(WEEKDAY(AJ$5)=1,TRUE,FALSE)</formula>
    </cfRule>
  </conditionalFormatting>
  <conditionalFormatting sqref="AJ18:AJ21">
    <cfRule type="expression" dxfId="6" priority="5" stopIfTrue="1">
      <formula>IF(WEEKDAY(AJ$5)=1,TRUE,FALSE)</formula>
    </cfRule>
  </conditionalFormatting>
  <conditionalFormatting sqref="AJ18:AJ19">
    <cfRule type="expression" dxfId="5" priority="4" stopIfTrue="1">
      <formula>IF(WEEKDAY(AJ$5)=1,TRUE,FALSE)</formula>
    </cfRule>
  </conditionalFormatting>
  <conditionalFormatting sqref="F16:AI29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2" t="str">
        <f>"BẢNG THANH TOÁN LƯƠNG THÁNG"&amp;" "&amp;TEXT($E$4,"mm")&amp;" / "&amp;TEXT($E$4,"yyyy")</f>
        <v>BẢNG THANH TOÁN LƯƠNG THÁNG 11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MAX(F10:F24)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-11'!$E$4</f>
        <v>42675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18" t="s">
        <v>40</v>
      </c>
      <c r="G7" s="215" t="s">
        <v>18</v>
      </c>
      <c r="H7" s="218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Nguyễn Thị Thu Sương</v>
      </c>
      <c r="D10" s="116" t="str">
        <f t="shared" ref="D10:D12" si="1">VLOOKUP(B10,DS,3,0)</f>
        <v>Kinh Doanh</v>
      </c>
      <c r="E10" s="90">
        <f t="shared" ref="E10:E12" si="2">VLOOKUP(B10,DS,4,0)</f>
        <v>5200000</v>
      </c>
      <c r="F10" s="92">
        <f>VLOOKUP(B10,'CC -11'!$B$8:$AS$29,36,0)</f>
        <v>26</v>
      </c>
      <c r="G10" s="145">
        <f>ROUND(E10/$U$2*F10,0)</f>
        <v>5200000</v>
      </c>
      <c r="H10" s="92">
        <f>(VLOOKUP(B10,'CC -11'!$B$8:$AS$29,37,0)+VLOOKUP(B10,'CC -11'!$B$8:$AS$29,38,0))</f>
        <v>0</v>
      </c>
      <c r="I10" s="145">
        <f t="shared" ref="I10:I12" si="3">ROUND(E10/$U$2*H10,0)</f>
        <v>0</v>
      </c>
      <c r="J10" s="93">
        <f t="shared" ref="J10:K12" si="4">F10+H10</f>
        <v>26</v>
      </c>
      <c r="K10" s="39">
        <f>G10+I10</f>
        <v>5200000</v>
      </c>
      <c r="L10" s="90">
        <f t="shared" ref="L10:L12" si="5">+F10*15000</f>
        <v>390000</v>
      </c>
      <c r="M10" s="40">
        <f t="shared" ref="M10:M12" si="6">K10+L10</f>
        <v>5590000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7">M10-SUM(N10:P10)</f>
        <v>5590000</v>
      </c>
      <c r="R10" s="39">
        <f>VLOOKUP(B10,DS,23,0)</f>
        <v>0</v>
      </c>
      <c r="S10" s="45">
        <f t="shared" ref="S10:S12" si="8">Q10-R10</f>
        <v>5590000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9">VLOOKUP(B11,DS,2,0)</f>
        <v>Trần Anh Nhựt</v>
      </c>
      <c r="D11" s="116" t="str">
        <f t="shared" ref="D11" si="10">VLOOKUP(B11,DS,3,0)</f>
        <v>Thiết Kế</v>
      </c>
      <c r="E11" s="90">
        <f t="shared" ref="E11" si="11">VLOOKUP(B11,DS,4,0)</f>
        <v>5200000</v>
      </c>
      <c r="F11" s="92">
        <f>VLOOKUP(B11,'CC -11'!$B$8:$AS$29,36,0)</f>
        <v>26</v>
      </c>
      <c r="G11" s="145">
        <f t="shared" ref="G11" si="12">ROUND(E11/$U$2*F11,0)</f>
        <v>5200000</v>
      </c>
      <c r="H11" s="92">
        <f>(VLOOKUP(B11,'CC -11'!$B$8:$AS$29,37,0)+VLOOKUP(B11,'CC -11'!$B$8:$AS$29,38,0))</f>
        <v>0</v>
      </c>
      <c r="I11" s="145">
        <f t="shared" ref="I11" si="13">ROUND(E11/$U$2*H11,0)</f>
        <v>0</v>
      </c>
      <c r="J11" s="93">
        <f t="shared" ref="J11" si="14">F11+H11</f>
        <v>26</v>
      </c>
      <c r="K11" s="39">
        <f t="shared" ref="K11" si="15">G11+I11</f>
        <v>5200000</v>
      </c>
      <c r="L11" s="90">
        <f t="shared" ref="L11" si="16">+F11*15000</f>
        <v>390000</v>
      </c>
      <c r="M11" s="40">
        <f t="shared" ref="M11" si="17">K11+L11</f>
        <v>5590000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8">M11-SUM(N11:P11)</f>
        <v>5590000</v>
      </c>
      <c r="R11" s="39">
        <f>VLOOKUP(B11,DS,23,0)</f>
        <v>0</v>
      </c>
      <c r="S11" s="45">
        <f t="shared" ref="S11" si="19">Q11-R11</f>
        <v>5590000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0"/>
        <v>Huỳnh Minh Toàn</v>
      </c>
      <c r="D12" s="116" t="str">
        <f t="shared" si="1"/>
        <v>Thủ Kho</v>
      </c>
      <c r="E12" s="90">
        <f t="shared" si="2"/>
        <v>5700000</v>
      </c>
      <c r="F12" s="92">
        <f>VLOOKUP(B12,'CC -11'!$B$8:$AS$29,36,0)</f>
        <v>26</v>
      </c>
      <c r="G12" s="145">
        <f t="shared" ref="G12" si="20">ROUND(E12/$U$2*F12,0)</f>
        <v>5700000</v>
      </c>
      <c r="H12" s="92">
        <f>(VLOOKUP(B12,'CC -11'!$B$8:$AS$29,37,0)+VLOOKUP(B12,'CC -11'!$B$8:$AS$29,38,0))</f>
        <v>0</v>
      </c>
      <c r="I12" s="145">
        <f t="shared" si="3"/>
        <v>0</v>
      </c>
      <c r="J12" s="93">
        <f t="shared" si="4"/>
        <v>26</v>
      </c>
      <c r="K12" s="39">
        <f t="shared" si="4"/>
        <v>5700000</v>
      </c>
      <c r="L12" s="90">
        <f t="shared" si="5"/>
        <v>390000</v>
      </c>
      <c r="M12" s="40">
        <f t="shared" si="6"/>
        <v>6090000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7"/>
        <v>6090000</v>
      </c>
      <c r="R12" s="39">
        <f>VLOOKUP(B12,DS,23,0)</f>
        <v>0</v>
      </c>
      <c r="S12" s="45">
        <f t="shared" si="8"/>
        <v>6090000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SUM(E9:E13)</f>
        <v>16100000</v>
      </c>
      <c r="F14" s="140"/>
      <c r="G14" s="140">
        <f>SUM(G9:G13)</f>
        <v>16100000</v>
      </c>
      <c r="H14" s="140"/>
      <c r="I14" s="140">
        <f>SUM(I9:I13)</f>
        <v>0</v>
      </c>
      <c r="J14" s="140"/>
      <c r="K14" s="140">
        <f t="shared" ref="K14:S14" si="21">SUM(K9:K13)</f>
        <v>16100000</v>
      </c>
      <c r="L14" s="140">
        <f t="shared" si="21"/>
        <v>1170000</v>
      </c>
      <c r="M14" s="140">
        <f t="shared" si="21"/>
        <v>17270000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17270000</v>
      </c>
      <c r="R14" s="140">
        <f t="shared" si="21"/>
        <v>0</v>
      </c>
      <c r="S14" s="140">
        <f t="shared" si="21"/>
        <v>17270000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20" si="22">VLOOKUP(B16,DS,2,0)</f>
        <v>Nguyễn Trường Giang</v>
      </c>
      <c r="D16" s="116" t="str">
        <f t="shared" ref="D16:D20" si="23">VLOOKUP(B16,DS,3,0)</f>
        <v>Thợ in</v>
      </c>
      <c r="E16" s="90">
        <f t="shared" ref="E16:E20" si="24">VLOOKUP(B16,DS,4,0)</f>
        <v>5200000</v>
      </c>
      <c r="F16" s="92">
        <f>VLOOKUP(B16,'CC -11'!$B$8:$AS$29,36,0)</f>
        <v>26</v>
      </c>
      <c r="G16" s="145">
        <f t="shared" ref="G16:G20" si="25">ROUND(E16/$U$2*F16,0)</f>
        <v>5200000</v>
      </c>
      <c r="H16" s="92">
        <f>(VLOOKUP(B16,'CC -11'!$B$8:$AS$29,37,0)+VLOOKUP(B16,'CC -11'!$B$8:$AS$29,38,0))</f>
        <v>0</v>
      </c>
      <c r="I16" s="145">
        <f t="shared" ref="I16:I20" si="26">ROUND(E16/$U$2*H16,0)</f>
        <v>0</v>
      </c>
      <c r="J16" s="146">
        <f t="shared" ref="J16:K20" si="27">F16+H16</f>
        <v>26</v>
      </c>
      <c r="K16" s="39">
        <f t="shared" si="27"/>
        <v>5200000</v>
      </c>
      <c r="L16" s="90">
        <f t="shared" ref="L16:L20" si="28">+F16*15000</f>
        <v>390000</v>
      </c>
      <c r="M16" s="40">
        <f t="shared" ref="M16:M20" si="29">K16+L16</f>
        <v>5590000</v>
      </c>
      <c r="N16" s="40">
        <f>IF(VLOOKUP(B16,DS,9,0)="x",'L - 11'!E16*$N$4,0)</f>
        <v>0</v>
      </c>
      <c r="O16" s="40">
        <f t="shared" ref="O16:O20" si="30">IF(VLOOKUP(B16,DS,9,0)="x",E16*0.015,0)</f>
        <v>0</v>
      </c>
      <c r="P16" s="40">
        <f t="shared" ref="P16:P20" si="31">IF(VLOOKUP(B16,DS,9,0)="x",E16*0.01,0)</f>
        <v>0</v>
      </c>
      <c r="Q16" s="39">
        <f>M16-SUM(N16:P16)</f>
        <v>5590000</v>
      </c>
      <c r="R16" s="39">
        <f t="shared" ref="R16:R20" si="32">VLOOKUP(B16,DS,23,0)</f>
        <v>0</v>
      </c>
      <c r="S16" s="45">
        <f>Q16-R16</f>
        <v>5590000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18" si="33">VLOOKUP(B17,DS,2,0)</f>
        <v>Võ Văn Kiệt</v>
      </c>
      <c r="D17" s="116" t="str">
        <f t="shared" ref="D17:D18" si="34">VLOOKUP(B17,DS,3,0)</f>
        <v>Công Đoạn 1</v>
      </c>
      <c r="E17" s="90">
        <f t="shared" ref="E17:E18" si="35">VLOOKUP(B17,DS,4,0)</f>
        <v>5200000</v>
      </c>
      <c r="F17" s="92">
        <f>VLOOKUP(B17,'CC -11'!$B$8:$AS$29,36,0)</f>
        <v>26</v>
      </c>
      <c r="G17" s="145">
        <f t="shared" ref="G17:G18" si="36">ROUND(E17/$U$2*F17,0)</f>
        <v>5200000</v>
      </c>
      <c r="H17" s="92">
        <f>(VLOOKUP(B17,'CC -11'!$B$8:$AS$29,37,0)+VLOOKUP(B17,'CC -11'!$B$8:$AS$29,38,0))</f>
        <v>0</v>
      </c>
      <c r="I17" s="145">
        <f t="shared" ref="I17:I18" si="37">ROUND(E17/$U$2*H17,0)</f>
        <v>0</v>
      </c>
      <c r="J17" s="146">
        <f t="shared" ref="J17:J18" si="38">F17+H17</f>
        <v>26</v>
      </c>
      <c r="K17" s="39">
        <f t="shared" ref="K17:K18" si="39">G17+I17</f>
        <v>5200000</v>
      </c>
      <c r="L17" s="90">
        <f t="shared" ref="L17:L18" si="40">+F17*15000</f>
        <v>390000</v>
      </c>
      <c r="M17" s="40">
        <f t="shared" ref="M17:M18" si="41">K17+L17</f>
        <v>5590000</v>
      </c>
      <c r="N17" s="40">
        <f>IF(VLOOKUP(B17,DS,9,0)="x",'L - 11'!E17*$N$4,0)</f>
        <v>0</v>
      </c>
      <c r="O17" s="40">
        <f t="shared" ref="O17:O18" si="42">IF(VLOOKUP(B17,DS,9,0)="x",E17*0.015,0)</f>
        <v>0</v>
      </c>
      <c r="P17" s="40">
        <f t="shared" ref="P17:P18" si="43">IF(VLOOKUP(B17,DS,9,0)="x",E17*0.01,0)</f>
        <v>0</v>
      </c>
      <c r="Q17" s="39">
        <f t="shared" ref="Q17:Q18" si="44">M17-SUM(N17:P17)</f>
        <v>5590000</v>
      </c>
      <c r="R17" s="39">
        <f t="shared" ref="R17:R18" si="45">VLOOKUP(B17,DS,23,0)</f>
        <v>0</v>
      </c>
      <c r="S17" s="45">
        <f t="shared" ref="S17:S18" si="46">Q17-R17</f>
        <v>5590000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-11'!$B$8:$AS$29,36,0)</f>
        <v>26</v>
      </c>
      <c r="G18" s="145">
        <f t="shared" si="36"/>
        <v>4500000</v>
      </c>
      <c r="H18" s="92">
        <f>(VLOOKUP(B18,'CC -11'!$B$8:$AS$29,37,0)+VLOOKUP(B18,'CC -11'!$B$8:$AS$29,38,0))</f>
        <v>0</v>
      </c>
      <c r="I18" s="145">
        <f t="shared" si="37"/>
        <v>0</v>
      </c>
      <c r="J18" s="146">
        <f t="shared" si="38"/>
        <v>26</v>
      </c>
      <c r="K18" s="39">
        <f t="shared" si="39"/>
        <v>4500000</v>
      </c>
      <c r="L18" s="90">
        <f t="shared" si="40"/>
        <v>390000</v>
      </c>
      <c r="M18" s="40">
        <f t="shared" si="41"/>
        <v>4890000</v>
      </c>
      <c r="N18" s="40">
        <f>IF(VLOOKUP(B18,DS,9,0)="x",'L - 11'!E18*$N$4,0)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4890000</v>
      </c>
      <c r="R18" s="39">
        <f t="shared" si="45"/>
        <v>0</v>
      </c>
      <c r="S18" s="45">
        <f t="shared" si="46"/>
        <v>4890000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22"/>
        <v>Dương Thế Kiệt</v>
      </c>
      <c r="D19" s="116" t="str">
        <f t="shared" si="23"/>
        <v>Công Đoạn 1</v>
      </c>
      <c r="E19" s="90">
        <f t="shared" si="24"/>
        <v>4500000</v>
      </c>
      <c r="F19" s="92">
        <f>VLOOKUP(B19,'CC -11'!$B$8:$AS$29,36,0)</f>
        <v>26</v>
      </c>
      <c r="G19" s="145">
        <f t="shared" si="25"/>
        <v>4500000</v>
      </c>
      <c r="H19" s="92">
        <f>(VLOOKUP(B19,'CC -11'!$B$8:$AS$29,37,0)+VLOOKUP(B19,'CC -11'!$B$8:$AS$29,38,0))</f>
        <v>0</v>
      </c>
      <c r="I19" s="145">
        <f t="shared" si="26"/>
        <v>0</v>
      </c>
      <c r="J19" s="146">
        <f t="shared" si="27"/>
        <v>26</v>
      </c>
      <c r="K19" s="39">
        <f t="shared" si="27"/>
        <v>4500000</v>
      </c>
      <c r="L19" s="90">
        <f t="shared" si="28"/>
        <v>390000</v>
      </c>
      <c r="M19" s="40">
        <f t="shared" si="29"/>
        <v>4890000</v>
      </c>
      <c r="N19" s="40">
        <f>IF(VLOOKUP(B19,DS,9,0)="x",'L - 11'!E19*$N$4,0)</f>
        <v>0</v>
      </c>
      <c r="O19" s="40">
        <f t="shared" si="30"/>
        <v>0</v>
      </c>
      <c r="P19" s="40">
        <f t="shared" si="31"/>
        <v>0</v>
      </c>
      <c r="Q19" s="39">
        <f t="shared" ref="Q19:Q20" si="47">M19-SUM(N19:P19)</f>
        <v>4890000</v>
      </c>
      <c r="R19" s="39">
        <f t="shared" si="32"/>
        <v>0</v>
      </c>
      <c r="S19" s="45">
        <f t="shared" ref="S19:S20" si="48">Q19-R19</f>
        <v>4890000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22"/>
        <v>Lê Văn Hữu</v>
      </c>
      <c r="D20" s="116" t="str">
        <f t="shared" si="23"/>
        <v>Công Đoạn 2</v>
      </c>
      <c r="E20" s="90">
        <f t="shared" si="24"/>
        <v>5200000</v>
      </c>
      <c r="F20" s="92">
        <f>VLOOKUP(B20,'CC -11'!$B$8:$AS$29,36,0)</f>
        <v>26</v>
      </c>
      <c r="G20" s="145">
        <f t="shared" si="25"/>
        <v>5200000</v>
      </c>
      <c r="H20" s="92">
        <f>(VLOOKUP(B20,'CC -11'!$B$8:$AS$29,37,0)+VLOOKUP(B20,'CC -11'!$B$8:$AS$29,38,0))</f>
        <v>0</v>
      </c>
      <c r="I20" s="145">
        <f t="shared" si="26"/>
        <v>0</v>
      </c>
      <c r="J20" s="146">
        <f t="shared" si="27"/>
        <v>26</v>
      </c>
      <c r="K20" s="39">
        <f t="shared" si="27"/>
        <v>5200000</v>
      </c>
      <c r="L20" s="90">
        <f t="shared" si="28"/>
        <v>390000</v>
      </c>
      <c r="M20" s="40">
        <f t="shared" si="29"/>
        <v>5590000</v>
      </c>
      <c r="N20" s="40">
        <f>IF(VLOOKUP(B20,DS,9,0)="x",'L - 11'!E20*$N$4,0)</f>
        <v>0</v>
      </c>
      <c r="O20" s="40">
        <f t="shared" si="30"/>
        <v>0</v>
      </c>
      <c r="P20" s="40">
        <f t="shared" si="31"/>
        <v>0</v>
      </c>
      <c r="Q20" s="39">
        <f t="shared" si="47"/>
        <v>5590000</v>
      </c>
      <c r="R20" s="39">
        <f t="shared" si="32"/>
        <v>0</v>
      </c>
      <c r="S20" s="45">
        <f t="shared" si="48"/>
        <v>5590000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:C22" si="49">VLOOKUP(B21,DS,2,0)</f>
        <v>Bùi Trường Giang</v>
      </c>
      <c r="D21" s="116" t="str">
        <f t="shared" ref="D21:D22" si="50">VLOOKUP(B21,DS,3,0)</f>
        <v>Công Đoạn 2</v>
      </c>
      <c r="E21" s="90">
        <f t="shared" ref="E21:E22" si="51">VLOOKUP(B21,DS,4,0)</f>
        <v>4500000</v>
      </c>
      <c r="F21" s="92">
        <f>VLOOKUP(B21,'CC -11'!$B$8:$AS$29,36,0)</f>
        <v>26</v>
      </c>
      <c r="G21" s="145">
        <f t="shared" ref="G21:G22" si="52">ROUND(E21/$U$2*F21,0)</f>
        <v>4500000</v>
      </c>
      <c r="H21" s="92">
        <f>(VLOOKUP(B21,'CC -11'!$B$8:$AS$29,37,0)+VLOOKUP(B21,'CC -11'!$B$8:$AS$29,38,0))</f>
        <v>0</v>
      </c>
      <c r="I21" s="145">
        <f t="shared" ref="I21:I22" si="53">ROUND(E21/$U$2*H21,0)</f>
        <v>0</v>
      </c>
      <c r="J21" s="146">
        <f t="shared" ref="J21:J22" si="54">F21+H21</f>
        <v>26</v>
      </c>
      <c r="K21" s="39">
        <f t="shared" ref="K21:K22" si="55">G21+I21</f>
        <v>4500000</v>
      </c>
      <c r="L21" s="90">
        <f t="shared" ref="L21:L22" si="56">+F21*15000</f>
        <v>390000</v>
      </c>
      <c r="M21" s="40">
        <f t="shared" ref="M21:M22" si="57">K21+L21</f>
        <v>4890000</v>
      </c>
      <c r="N21" s="40">
        <f>IF(VLOOKUP(B21,DS,9,0)="x",'L - 11'!E21*$N$4,0)</f>
        <v>0</v>
      </c>
      <c r="O21" s="40">
        <f t="shared" ref="O21:O22" si="58">IF(VLOOKUP(B21,DS,9,0)="x",E21*0.015,0)</f>
        <v>0</v>
      </c>
      <c r="P21" s="40">
        <f t="shared" ref="P21:P22" si="59">IF(VLOOKUP(B21,DS,9,0)="x",E21*0.01,0)</f>
        <v>0</v>
      </c>
      <c r="Q21" s="39">
        <f t="shared" ref="Q21:Q22" si="60">M21-SUM(N21:P21)</f>
        <v>4890000</v>
      </c>
      <c r="R21" s="39">
        <f t="shared" ref="R21:R22" si="61">VLOOKUP(B21,DS,23,0)</f>
        <v>0</v>
      </c>
      <c r="S21" s="45">
        <f t="shared" ref="S21:S22" si="62">Q21-R21</f>
        <v>4890000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49"/>
        <v>Nguyễn T Bích Thủy</v>
      </c>
      <c r="D22" s="116" t="str">
        <f t="shared" si="50"/>
        <v>Công Đoạn 2</v>
      </c>
      <c r="E22" s="90">
        <f t="shared" si="51"/>
        <v>4500000</v>
      </c>
      <c r="F22" s="92">
        <f>VLOOKUP(B22,'CC -11'!$B$8:$AS$29,36,0)</f>
        <v>26</v>
      </c>
      <c r="G22" s="145">
        <f t="shared" si="52"/>
        <v>4500000</v>
      </c>
      <c r="H22" s="92">
        <f>(VLOOKUP(B22,'CC -11'!$B$8:$AS$29,37,0)+VLOOKUP(B22,'CC -11'!$B$8:$AS$29,38,0))</f>
        <v>0</v>
      </c>
      <c r="I22" s="145">
        <f t="shared" si="53"/>
        <v>0</v>
      </c>
      <c r="J22" s="146">
        <f t="shared" si="54"/>
        <v>26</v>
      </c>
      <c r="K22" s="39">
        <f t="shared" si="55"/>
        <v>4500000</v>
      </c>
      <c r="L22" s="90">
        <f t="shared" si="56"/>
        <v>390000</v>
      </c>
      <c r="M22" s="40">
        <f t="shared" si="57"/>
        <v>4890000</v>
      </c>
      <c r="N22" s="40">
        <f>IF(VLOOKUP(B22,DS,9,0)="x",'L - 11'!E22*$N$4,0)</f>
        <v>0</v>
      </c>
      <c r="O22" s="40">
        <f t="shared" si="58"/>
        <v>0</v>
      </c>
      <c r="P22" s="40">
        <f t="shared" si="59"/>
        <v>0</v>
      </c>
      <c r="Q22" s="39">
        <f t="shared" si="60"/>
        <v>4890000</v>
      </c>
      <c r="R22" s="39">
        <f t="shared" si="61"/>
        <v>0</v>
      </c>
      <c r="S22" s="45">
        <f t="shared" si="62"/>
        <v>4890000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3">SUM(K15:K23)</f>
        <v>33600000</v>
      </c>
      <c r="L24" s="140">
        <f t="shared" si="63"/>
        <v>2730000</v>
      </c>
      <c r="M24" s="140">
        <f t="shared" si="63"/>
        <v>36330000</v>
      </c>
      <c r="N24" s="140">
        <f t="shared" si="63"/>
        <v>0</v>
      </c>
      <c r="O24" s="140">
        <f t="shared" si="63"/>
        <v>0</v>
      </c>
      <c r="P24" s="140">
        <f t="shared" si="63"/>
        <v>0</v>
      </c>
      <c r="Q24" s="140">
        <f t="shared" si="63"/>
        <v>36330000</v>
      </c>
      <c r="R24" s="140">
        <f t="shared" si="63"/>
        <v>0</v>
      </c>
      <c r="S24" s="140">
        <f t="shared" si="63"/>
        <v>36330000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11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6" sqref="F16:AJ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171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42705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65" t="s">
        <v>29</v>
      </c>
      <c r="E5" s="263" t="s">
        <v>30</v>
      </c>
      <c r="F5" s="118">
        <f>+E4</f>
        <v>42705</v>
      </c>
      <c r="G5" s="118">
        <f t="shared" ref="G5:AJ5" si="0">F5+1</f>
        <v>42706</v>
      </c>
      <c r="H5" s="118">
        <f t="shared" si="0"/>
        <v>42707</v>
      </c>
      <c r="I5" s="118">
        <f t="shared" si="0"/>
        <v>42708</v>
      </c>
      <c r="J5" s="118">
        <f t="shared" si="0"/>
        <v>42709</v>
      </c>
      <c r="K5" s="118">
        <f t="shared" si="0"/>
        <v>42710</v>
      </c>
      <c r="L5" s="118">
        <f t="shared" si="0"/>
        <v>42711</v>
      </c>
      <c r="M5" s="118">
        <f t="shared" si="0"/>
        <v>42712</v>
      </c>
      <c r="N5" s="118">
        <f t="shared" si="0"/>
        <v>42713</v>
      </c>
      <c r="O5" s="118">
        <f t="shared" si="0"/>
        <v>42714</v>
      </c>
      <c r="P5" s="118">
        <f t="shared" si="0"/>
        <v>42715</v>
      </c>
      <c r="Q5" s="118">
        <f t="shared" si="0"/>
        <v>42716</v>
      </c>
      <c r="R5" s="118">
        <f t="shared" si="0"/>
        <v>42717</v>
      </c>
      <c r="S5" s="118">
        <f t="shared" si="0"/>
        <v>42718</v>
      </c>
      <c r="T5" s="118">
        <f t="shared" si="0"/>
        <v>42719</v>
      </c>
      <c r="U5" s="118">
        <f t="shared" si="0"/>
        <v>42720</v>
      </c>
      <c r="V5" s="118">
        <f t="shared" si="0"/>
        <v>42721</v>
      </c>
      <c r="W5" s="118">
        <f t="shared" si="0"/>
        <v>42722</v>
      </c>
      <c r="X5" s="118">
        <f t="shared" si="0"/>
        <v>42723</v>
      </c>
      <c r="Y5" s="118">
        <f t="shared" si="0"/>
        <v>42724</v>
      </c>
      <c r="Z5" s="118">
        <f t="shared" si="0"/>
        <v>42725</v>
      </c>
      <c r="AA5" s="118">
        <f t="shared" si="0"/>
        <v>42726</v>
      </c>
      <c r="AB5" s="118">
        <f t="shared" si="0"/>
        <v>42727</v>
      </c>
      <c r="AC5" s="118">
        <f t="shared" si="0"/>
        <v>42728</v>
      </c>
      <c r="AD5" s="118">
        <f t="shared" si="0"/>
        <v>42729</v>
      </c>
      <c r="AE5" s="118">
        <f t="shared" si="0"/>
        <v>42730</v>
      </c>
      <c r="AF5" s="118">
        <f t="shared" si="0"/>
        <v>42731</v>
      </c>
      <c r="AG5" s="118">
        <f t="shared" si="0"/>
        <v>42732</v>
      </c>
      <c r="AH5" s="118">
        <f>AG5+1</f>
        <v>42733</v>
      </c>
      <c r="AI5" s="118">
        <f t="shared" si="0"/>
        <v>42734</v>
      </c>
      <c r="AJ5" s="118">
        <f t="shared" si="0"/>
        <v>42735</v>
      </c>
      <c r="AK5" s="266" t="s">
        <v>15</v>
      </c>
      <c r="AL5" s="267"/>
      <c r="AM5" s="268"/>
      <c r="AN5" s="269" t="s">
        <v>45</v>
      </c>
      <c r="AO5" s="269" t="s">
        <v>41</v>
      </c>
      <c r="AP5" s="269" t="s">
        <v>42</v>
      </c>
      <c r="AQ5" s="269" t="s">
        <v>43</v>
      </c>
      <c r="AR5" s="269" t="s">
        <v>44</v>
      </c>
      <c r="AS5" s="265" t="s">
        <v>0</v>
      </c>
      <c r="AT5" s="27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4"/>
      <c r="B6" s="264"/>
      <c r="C6" s="264"/>
      <c r="D6" s="264"/>
      <c r="E6" s="264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70"/>
      <c r="AO6" s="270"/>
      <c r="AP6" s="270"/>
      <c r="AQ6" s="270"/>
      <c r="AR6" s="270"/>
      <c r="AS6" s="264"/>
      <c r="AT6" s="27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154</v>
      </c>
      <c r="B8" s="181" t="s">
        <v>172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52">
        <v>1</v>
      </c>
      <c r="B9" s="252" t="s">
        <v>160</v>
      </c>
      <c r="C9" s="254" t="str">
        <f>VLOOKUP(B9,DS,2,0)</f>
        <v>Nguyễn Thị Thu Sương</v>
      </c>
      <c r="D9" s="256" t="str">
        <f>VLOOKUP(B9,DS,3,0)</f>
        <v>Kinh Doanh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44">
        <f>((SUM(F9:AJ9))/8)-(SUMIF($F$6:$AJ$6,"C.Nhật",F9:AJ9)/8)</f>
        <v>27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27</v>
      </c>
      <c r="AO9" s="250">
        <v>0</v>
      </c>
      <c r="AP9" s="248"/>
      <c r="AQ9" s="248"/>
      <c r="AR9" s="248"/>
      <c r="AS9" s="258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3"/>
      <c r="B10" s="253"/>
      <c r="C10" s="255"/>
      <c r="D10" s="25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5"/>
      <c r="AL10" s="245"/>
      <c r="AM10" s="247"/>
      <c r="AN10" s="249"/>
      <c r="AO10" s="251"/>
      <c r="AP10" s="249"/>
      <c r="AQ10" s="249"/>
      <c r="AR10" s="249"/>
      <c r="AS10" s="259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2">
        <v>2</v>
      </c>
      <c r="B11" s="252" t="s">
        <v>161</v>
      </c>
      <c r="C11" s="254" t="str">
        <f>VLOOKUP(B11,DS,2,0)</f>
        <v>Trần Anh Nhựt</v>
      </c>
      <c r="D11" s="256" t="str">
        <f>VLOOKUP(B11,DS,3,0)</f>
        <v>Thiết Kế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46">
        <f t="shared" ref="AM11:AM13" si="4">SUMIF($F$6:$AJ$6,"C.Nhật",$F11:$AJ12)/8*2</f>
        <v>0</v>
      </c>
      <c r="AN11" s="248">
        <f t="shared" ref="AN11" si="5">SUM(AK11:AM12)</f>
        <v>27</v>
      </c>
      <c r="AO11" s="250">
        <v>0</v>
      </c>
      <c r="AP11" s="248"/>
      <c r="AQ11" s="248"/>
      <c r="AR11" s="248"/>
      <c r="AS11" s="258"/>
      <c r="AT11" s="2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3"/>
      <c r="B12" s="253"/>
      <c r="C12" s="255"/>
      <c r="D12" s="25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5"/>
      <c r="AL12" s="245"/>
      <c r="AM12" s="247"/>
      <c r="AN12" s="249"/>
      <c r="AO12" s="251"/>
      <c r="AP12" s="249"/>
      <c r="AQ12" s="249"/>
      <c r="AR12" s="249"/>
      <c r="AS12" s="259"/>
      <c r="AT12" s="2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2">
        <v>3</v>
      </c>
      <c r="B13" s="252" t="s">
        <v>169</v>
      </c>
      <c r="C13" s="254" t="str">
        <f>VLOOKUP(B13,DS,2,0)</f>
        <v>Huỳnh Minh Toàn</v>
      </c>
      <c r="D13" s="256" t="str">
        <f>VLOOKUP(B13,DS,3,0)</f>
        <v>Thủ Kho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>
        <v>8</v>
      </c>
      <c r="AK13" s="244">
        <f t="shared" ref="AK13" si="6">((SUM(F13:AJ13))/8)-(SUMIF($F$6:$AJ$6,"C.Nhật",F13:AJ13)/8)</f>
        <v>27</v>
      </c>
      <c r="AL13" s="244">
        <f t="shared" ref="AL13" si="7">SUM(F14:AJ14)/8*1.5</f>
        <v>0</v>
      </c>
      <c r="AM13" s="246">
        <f t="shared" si="4"/>
        <v>0</v>
      </c>
      <c r="AN13" s="248">
        <f t="shared" ref="AN13" si="8">SUM(AK13:AM14)</f>
        <v>27</v>
      </c>
      <c r="AO13" s="250">
        <v>0</v>
      </c>
      <c r="AP13" s="248"/>
      <c r="AQ13" s="248"/>
      <c r="AR13" s="248"/>
      <c r="AS13" s="258"/>
      <c r="AT13" s="21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3"/>
      <c r="B14" s="253"/>
      <c r="C14" s="255"/>
      <c r="D14" s="25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5"/>
      <c r="AL14" s="245"/>
      <c r="AM14" s="247"/>
      <c r="AN14" s="249"/>
      <c r="AO14" s="251"/>
      <c r="AP14" s="249"/>
      <c r="AQ14" s="249"/>
      <c r="AR14" s="249"/>
      <c r="AS14" s="259"/>
      <c r="AT14" s="21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155</v>
      </c>
      <c r="B15" s="181" t="s">
        <v>159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44">
        <f t="shared" ref="AK16" si="9">((SUM(F16:AJ16))/8)-(SUMIF($F$6:$AJ$6,"C.Nhật",F16:AJ16)/8)</f>
        <v>27</v>
      </c>
      <c r="AL16" s="244">
        <f t="shared" ref="AL16" si="10">SUM(F17:AJ17)/8*1.5</f>
        <v>0</v>
      </c>
      <c r="AM16" s="246">
        <f>SUMIF($F$6:$AJ$6,"C.Nhật",$F16:$AJ17)/8*2</f>
        <v>0</v>
      </c>
      <c r="AN16" s="248">
        <f>SUM(AK16:AM17)</f>
        <v>27</v>
      </c>
      <c r="AO16" s="250">
        <v>0</v>
      </c>
      <c r="AP16" s="248"/>
      <c r="AQ16" s="248"/>
      <c r="AR16" s="248"/>
      <c r="AS16" s="258"/>
      <c r="AT16" s="22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3"/>
      <c r="B17" s="253"/>
      <c r="C17" s="255"/>
      <c r="D17" s="25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5"/>
      <c r="AL17" s="245"/>
      <c r="AM17" s="247"/>
      <c r="AN17" s="249"/>
      <c r="AO17" s="251"/>
      <c r="AP17" s="249"/>
      <c r="AQ17" s="249"/>
      <c r="AR17" s="249"/>
      <c r="AS17" s="259"/>
      <c r="AT17" s="22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2">
        <v>2</v>
      </c>
      <c r="B18" s="252" t="s">
        <v>163</v>
      </c>
      <c r="C18" s="254" t="str">
        <f>VLOOKUP(B18,DS,2,0)</f>
        <v>Võ Văn Kiệt</v>
      </c>
      <c r="D18" s="256" t="str">
        <f>VLOOKUP(B18,DS,3,0)</f>
        <v>Công Đoạn 1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46">
        <f>SUMIF($F$6:$AJ$6,"C.Nhật",$F18:$AJ19)/8*2</f>
        <v>0</v>
      </c>
      <c r="AN18" s="248">
        <f t="shared" ref="AN18" si="13">SUM(AK18:AM19)</f>
        <v>27</v>
      </c>
      <c r="AO18" s="250">
        <v>0</v>
      </c>
      <c r="AP18" s="248"/>
      <c r="AQ18" s="248"/>
      <c r="AR18" s="248"/>
      <c r="AS18" s="258"/>
      <c r="AT18" s="2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3"/>
      <c r="B19" s="253"/>
      <c r="C19" s="255"/>
      <c r="D19" s="25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5"/>
      <c r="AL19" s="245"/>
      <c r="AM19" s="247"/>
      <c r="AN19" s="249"/>
      <c r="AO19" s="251"/>
      <c r="AP19" s="249"/>
      <c r="AQ19" s="249"/>
      <c r="AR19" s="249"/>
      <c r="AS19" s="259"/>
      <c r="AT19" s="2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2">
        <v>3</v>
      </c>
      <c r="B20" s="252" t="s">
        <v>164</v>
      </c>
      <c r="C20" s="254" t="str">
        <f>VLOOKUP(B20,DS,2,0)</f>
        <v>Diệp Văn Lân</v>
      </c>
      <c r="D20" s="256" t="str">
        <f>VLOOKUP(B20,DS,3,0)</f>
        <v>Công Đoạn 1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>
        <v>8</v>
      </c>
      <c r="AK20" s="244">
        <f t="shared" ref="AK20" si="14">((SUM(F20:AJ20))/8)-(SUMIF($F$6:$AJ$6,"C.Nhật",F20:AJ20)/8)</f>
        <v>27</v>
      </c>
      <c r="AL20" s="244">
        <f t="shared" ref="AL20" si="15">SUM(F21:AJ21)/8*1.5</f>
        <v>0</v>
      </c>
      <c r="AM20" s="246">
        <f>SUMIF($F$6:$AJ$6,"C.Nhật",$F20:$AJ21)/8*2</f>
        <v>0</v>
      </c>
      <c r="AN20" s="248">
        <f t="shared" ref="AN20" si="16">SUM(AK20:AM21)</f>
        <v>27</v>
      </c>
      <c r="AO20" s="250">
        <v>0</v>
      </c>
      <c r="AP20" s="248"/>
      <c r="AQ20" s="248"/>
      <c r="AR20" s="248"/>
      <c r="AS20" s="258"/>
      <c r="AT20" s="2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3"/>
      <c r="B21" s="253"/>
      <c r="C21" s="255"/>
      <c r="D21" s="25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5"/>
      <c r="AL21" s="245"/>
      <c r="AM21" s="247"/>
      <c r="AN21" s="249"/>
      <c r="AO21" s="251"/>
      <c r="AP21" s="249"/>
      <c r="AQ21" s="249"/>
      <c r="AR21" s="249"/>
      <c r="AS21" s="259"/>
      <c r="AT21" s="2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52">
        <v>4</v>
      </c>
      <c r="B22" s="252" t="s">
        <v>180</v>
      </c>
      <c r="C22" s="254" t="str">
        <f>VLOOKUP(B22,DS,2,0)</f>
        <v>Dương Thế Kiệt</v>
      </c>
      <c r="D22" s="256" t="str">
        <f>VLOOKUP(B22,DS,3,0)</f>
        <v>Công Đoạn 1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>
        <v>8</v>
      </c>
      <c r="AK22" s="244">
        <f t="shared" ref="AK22" si="17">((SUM(F22:AJ22))/8)-(SUMIF($F$6:$AJ$6,"C.Nhật",F22:AJ22)/8)</f>
        <v>27</v>
      </c>
      <c r="AL22" s="244">
        <f t="shared" ref="AL22" si="18">SUM(F23:AJ23)/8*1.5</f>
        <v>0</v>
      </c>
      <c r="AM22" s="246">
        <f>SUMIF($F$6:$AJ$6,"C.Nhật",$F22:$AJ23)/8*2</f>
        <v>0</v>
      </c>
      <c r="AN22" s="248">
        <f t="shared" ref="AN22" si="19">SUM(AK22:AM23)</f>
        <v>27</v>
      </c>
      <c r="AO22" s="250">
        <v>0</v>
      </c>
      <c r="AP22" s="248"/>
      <c r="AQ22" s="248"/>
      <c r="AR22" s="248"/>
      <c r="AS22" s="258"/>
      <c r="AT22" s="2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53"/>
      <c r="B23" s="253"/>
      <c r="C23" s="255"/>
      <c r="D23" s="257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45"/>
      <c r="AL23" s="245"/>
      <c r="AM23" s="247"/>
      <c r="AN23" s="249"/>
      <c r="AO23" s="251"/>
      <c r="AP23" s="249"/>
      <c r="AQ23" s="249"/>
      <c r="AR23" s="249"/>
      <c r="AS23" s="259"/>
      <c r="AT23" s="2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52">
        <v>5</v>
      </c>
      <c r="B24" s="252" t="s">
        <v>182</v>
      </c>
      <c r="C24" s="254" t="str">
        <f>VLOOKUP(B24,DS,2,0)</f>
        <v>Lê Văn Hữu</v>
      </c>
      <c r="D24" s="256" t="str">
        <f>VLOOKUP(B24,DS,3,0)</f>
        <v>Công Đoạn 2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>
        <v>8</v>
      </c>
      <c r="AK24" s="244">
        <f t="shared" ref="AK24" si="20">((SUM(F24:AJ24))/8)-(SUMIF($F$6:$AJ$6,"C.Nhật",F24:AJ24)/8)</f>
        <v>27</v>
      </c>
      <c r="AL24" s="244">
        <f t="shared" ref="AL24" si="21">SUM(F25:AJ25)/8*1.5</f>
        <v>0</v>
      </c>
      <c r="AM24" s="246">
        <f>SUMIF($F$6:$AJ$6,"C.Nhật",$F24:$AJ25)/8*2</f>
        <v>0</v>
      </c>
      <c r="AN24" s="248">
        <f t="shared" ref="AN24" si="22">SUM(AK24:AM25)</f>
        <v>27</v>
      </c>
      <c r="AO24" s="250">
        <v>0</v>
      </c>
      <c r="AP24" s="248"/>
      <c r="AQ24" s="248"/>
      <c r="AR24" s="248"/>
      <c r="AS24" s="258"/>
      <c r="AT24" s="22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53"/>
      <c r="B25" s="253"/>
      <c r="C25" s="255"/>
      <c r="D25" s="257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45"/>
      <c r="AL25" s="245"/>
      <c r="AM25" s="247"/>
      <c r="AN25" s="249"/>
      <c r="AO25" s="251"/>
      <c r="AP25" s="249"/>
      <c r="AQ25" s="249"/>
      <c r="AR25" s="249"/>
      <c r="AS25" s="259"/>
      <c r="AT25" s="22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52">
        <v>6</v>
      </c>
      <c r="B26" s="252" t="s">
        <v>185</v>
      </c>
      <c r="C26" s="254" t="str">
        <f>VLOOKUP(B26,DS,2,0)</f>
        <v>Bùi Trường Giang</v>
      </c>
      <c r="D26" s="256" t="str">
        <f>VLOOKUP(B26,DS,3,0)</f>
        <v>Công Đoạn 2</v>
      </c>
      <c r="E26" s="68" t="s">
        <v>32</v>
      </c>
      <c r="F26" s="143">
        <v>8</v>
      </c>
      <c r="G26" s="143">
        <v>8</v>
      </c>
      <c r="H26" s="143">
        <v>8</v>
      </c>
      <c r="I26" s="143"/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/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/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/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>
        <v>8</v>
      </c>
      <c r="AK26" s="244">
        <f t="shared" ref="AK26" si="23">((SUM(F26:AJ26))/8)-(SUMIF($F$6:$AJ$6,"C.Nhật",F26:AJ26)/8)</f>
        <v>27</v>
      </c>
      <c r="AL26" s="244">
        <f t="shared" ref="AL26" si="24">SUM(F27:AJ27)/8*1.5</f>
        <v>0</v>
      </c>
      <c r="AM26" s="246">
        <f>SUMIF($F$6:$AJ$6,"C.Nhật",$F26:$AJ27)/8*2</f>
        <v>0</v>
      </c>
      <c r="AN26" s="248">
        <f t="shared" ref="AN26" si="25">SUM(AK26:AM27)</f>
        <v>27</v>
      </c>
      <c r="AO26" s="250">
        <v>0</v>
      </c>
      <c r="AP26" s="248"/>
      <c r="AQ26" s="248"/>
      <c r="AR26" s="248"/>
      <c r="AS26" s="258"/>
      <c r="AT26" s="22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53"/>
      <c r="B27" s="253"/>
      <c r="C27" s="255"/>
      <c r="D27" s="257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45"/>
      <c r="AL27" s="245"/>
      <c r="AM27" s="247"/>
      <c r="AN27" s="249"/>
      <c r="AO27" s="251"/>
      <c r="AP27" s="249"/>
      <c r="AQ27" s="249"/>
      <c r="AR27" s="249"/>
      <c r="AS27" s="259"/>
      <c r="AT27" s="22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252">
        <v>7</v>
      </c>
      <c r="B28" s="252" t="s">
        <v>187</v>
      </c>
      <c r="C28" s="254" t="str">
        <f>VLOOKUP(B28,DS,2,0)</f>
        <v>Nguyễn T Bích Thủy</v>
      </c>
      <c r="D28" s="256" t="str">
        <f>VLOOKUP(B28,DS,3,0)</f>
        <v>Công Đoạn 2</v>
      </c>
      <c r="E28" s="68" t="s">
        <v>32</v>
      </c>
      <c r="F28" s="143">
        <v>8</v>
      </c>
      <c r="G28" s="143">
        <v>8</v>
      </c>
      <c r="H28" s="143">
        <v>8</v>
      </c>
      <c r="I28" s="143"/>
      <c r="J28" s="143">
        <v>8</v>
      </c>
      <c r="K28" s="143">
        <v>8</v>
      </c>
      <c r="L28" s="143">
        <v>8</v>
      </c>
      <c r="M28" s="143">
        <v>8</v>
      </c>
      <c r="N28" s="143">
        <v>8</v>
      </c>
      <c r="O28" s="143">
        <v>8</v>
      </c>
      <c r="P28" s="143"/>
      <c r="Q28" s="143">
        <v>8</v>
      </c>
      <c r="R28" s="143">
        <v>8</v>
      </c>
      <c r="S28" s="143">
        <v>8</v>
      </c>
      <c r="T28" s="143">
        <v>8</v>
      </c>
      <c r="U28" s="143">
        <v>8</v>
      </c>
      <c r="V28" s="143">
        <v>8</v>
      </c>
      <c r="W28" s="143"/>
      <c r="X28" s="143">
        <v>8</v>
      </c>
      <c r="Y28" s="143">
        <v>8</v>
      </c>
      <c r="Z28" s="143">
        <v>8</v>
      </c>
      <c r="AA28" s="143">
        <v>8</v>
      </c>
      <c r="AB28" s="143">
        <v>8</v>
      </c>
      <c r="AC28" s="143">
        <v>8</v>
      </c>
      <c r="AD28" s="143"/>
      <c r="AE28" s="143">
        <v>8</v>
      </c>
      <c r="AF28" s="143">
        <v>8</v>
      </c>
      <c r="AG28" s="143">
        <v>8</v>
      </c>
      <c r="AH28" s="143">
        <v>8</v>
      </c>
      <c r="AI28" s="143">
        <v>8</v>
      </c>
      <c r="AJ28" s="143">
        <v>8</v>
      </c>
      <c r="AK28" s="244">
        <f t="shared" ref="AK28" si="26">((SUM(F28:AJ28))/8)-(SUMIF($F$6:$AJ$6,"C.Nhật",F28:AJ28)/8)</f>
        <v>27</v>
      </c>
      <c r="AL28" s="244">
        <f t="shared" ref="AL28" si="27">SUM(F29:AJ29)/8*1.5</f>
        <v>0</v>
      </c>
      <c r="AM28" s="246">
        <f>SUMIF($F$6:$AJ$6,"C.Nhật",$F28:$AJ29)/8*2</f>
        <v>0</v>
      </c>
      <c r="AN28" s="248">
        <f t="shared" ref="AN28" si="28">SUM(AK28:AM29)</f>
        <v>27</v>
      </c>
      <c r="AO28" s="250">
        <v>0</v>
      </c>
      <c r="AP28" s="248"/>
      <c r="AQ28" s="248"/>
      <c r="AR28" s="248"/>
      <c r="AS28" s="258"/>
      <c r="AT28" s="22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253"/>
      <c r="B29" s="253"/>
      <c r="C29" s="255"/>
      <c r="D29" s="257"/>
      <c r="E29" s="69" t="s">
        <v>31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245"/>
      <c r="AL29" s="245"/>
      <c r="AM29" s="247"/>
      <c r="AN29" s="249"/>
      <c r="AO29" s="251"/>
      <c r="AP29" s="249"/>
      <c r="AQ29" s="249"/>
      <c r="AR29" s="249"/>
      <c r="AS29" s="259"/>
      <c r="AT29" s="22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70" customFormat="1" ht="12.75">
      <c r="A30" s="14"/>
      <c r="B30" s="71"/>
      <c r="C30" s="4"/>
      <c r="D30" s="113"/>
      <c r="E30" s="4"/>
      <c r="F30" s="75"/>
      <c r="G30" s="75"/>
      <c r="H30" s="72"/>
      <c r="I30" s="72"/>
      <c r="J30" s="120"/>
      <c r="K30" s="75"/>
      <c r="L30" s="72"/>
      <c r="M30" s="75"/>
      <c r="N30" s="75"/>
      <c r="O30" s="75"/>
      <c r="P30" s="75"/>
      <c r="Q30" s="72"/>
      <c r="R30" s="75"/>
      <c r="S30" s="75"/>
      <c r="T30" s="120"/>
      <c r="U30" s="75"/>
      <c r="V30" s="75"/>
      <c r="W30" s="75"/>
      <c r="X30" s="71"/>
      <c r="Y30" s="75"/>
      <c r="Z30" s="75"/>
      <c r="AA30" s="75"/>
      <c r="AB30" s="75"/>
      <c r="AC30" s="75"/>
      <c r="AD30" s="72"/>
      <c r="AE30" s="75"/>
      <c r="AF30" s="75"/>
      <c r="AG30" s="75"/>
      <c r="AH30" s="75"/>
      <c r="AI30" s="75"/>
      <c r="AJ30" s="75"/>
      <c r="AK30" s="4"/>
      <c r="AL30" s="4"/>
      <c r="AM30" s="98"/>
      <c r="AN30" s="74"/>
      <c r="AO30" s="74"/>
      <c r="AP30" s="74"/>
      <c r="AQ30" s="74"/>
      <c r="AR30" s="74"/>
      <c r="AS30" s="4"/>
      <c r="AT30" s="104"/>
    </row>
    <row r="31" spans="1:90" s="70" customFormat="1" ht="12.75">
      <c r="A31" s="14"/>
      <c r="B31" s="71"/>
      <c r="C31" s="14" t="s">
        <v>14</v>
      </c>
      <c r="D31" s="113"/>
      <c r="E31" s="4"/>
      <c r="F31" s="75"/>
      <c r="G31" s="75"/>
      <c r="H31" s="72"/>
      <c r="I31" s="72"/>
      <c r="J31" s="120"/>
      <c r="K31" s="75"/>
      <c r="L31" s="72"/>
      <c r="M31" s="75"/>
      <c r="N31" s="75"/>
      <c r="O31" s="75"/>
      <c r="P31" s="75"/>
      <c r="Q31" s="72"/>
      <c r="R31" s="75"/>
      <c r="S31" s="75"/>
      <c r="T31" s="120"/>
      <c r="U31" s="75"/>
      <c r="V31" s="75"/>
      <c r="W31" s="75"/>
      <c r="X31" s="71"/>
      <c r="Y31" s="75"/>
      <c r="Z31" s="75"/>
      <c r="AA31" s="75"/>
      <c r="AB31" s="75"/>
      <c r="AC31" s="75"/>
      <c r="AD31" s="72"/>
      <c r="AE31" s="75"/>
      <c r="AF31" s="75"/>
      <c r="AG31" s="75"/>
      <c r="AH31" s="75"/>
      <c r="AI31" s="75"/>
      <c r="AJ31" s="75"/>
      <c r="AK31" s="4"/>
      <c r="AL31" s="4"/>
      <c r="AM31" s="98"/>
      <c r="AN31" s="74"/>
      <c r="AO31" s="74"/>
      <c r="AP31" s="74"/>
      <c r="AQ31" s="74"/>
      <c r="AR31" s="74"/>
      <c r="AS31" s="4"/>
      <c r="AT31" s="104"/>
    </row>
    <row r="32" spans="1:90" s="70" customFormat="1" ht="12.7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104"/>
    </row>
    <row r="33" spans="1:91" s="73" customFormat="1" ht="15" customHeight="1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2"/>
      <c r="B34" s="12"/>
      <c r="C34" s="4"/>
      <c r="D34" s="113"/>
      <c r="E34" s="4"/>
      <c r="F34" s="75"/>
      <c r="G34" s="75"/>
      <c r="H34" s="121"/>
      <c r="I34" s="121"/>
      <c r="J34" s="121"/>
      <c r="K34" s="75"/>
      <c r="L34" s="121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121"/>
      <c r="AE34" s="75"/>
      <c r="AF34" s="75"/>
      <c r="AG34" s="75"/>
      <c r="AH34" s="75"/>
      <c r="AI34" s="75"/>
      <c r="AJ34" s="75"/>
      <c r="AK34" s="4"/>
      <c r="AL34" s="4"/>
      <c r="AM34" s="98"/>
      <c r="AN34" s="76"/>
      <c r="AO34" s="76"/>
      <c r="AP34" s="76"/>
      <c r="AQ34" s="76"/>
      <c r="AR34" s="76"/>
      <c r="AS34" s="4"/>
      <c r="AT34" s="4"/>
    </row>
    <row r="35" spans="1:91" s="73" customFormat="1" ht="11.25">
      <c r="A35" s="12"/>
      <c r="B35" s="12"/>
      <c r="C35" s="4"/>
      <c r="D35" s="113"/>
      <c r="E35" s="4"/>
      <c r="F35" s="75"/>
      <c r="G35" s="75"/>
      <c r="H35" s="121"/>
      <c r="I35" s="121"/>
      <c r="J35" s="121"/>
      <c r="K35" s="75"/>
      <c r="L35" s="121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121"/>
      <c r="AE35" s="75"/>
      <c r="AF35" s="75"/>
      <c r="AG35" s="75"/>
      <c r="AH35" s="75"/>
      <c r="AI35" s="75"/>
      <c r="AJ35" s="75"/>
      <c r="AK35" s="4"/>
      <c r="AL35" s="4"/>
      <c r="AM35" s="98"/>
      <c r="AN35" s="76"/>
      <c r="AO35" s="76"/>
      <c r="AP35" s="76"/>
      <c r="AQ35" s="76"/>
      <c r="AR35" s="76"/>
      <c r="AS35" s="4"/>
      <c r="AT35" s="4"/>
    </row>
    <row r="36" spans="1:91" s="73" customFormat="1" ht="11.25">
      <c r="A36" s="10"/>
      <c r="B36" s="10"/>
      <c r="C36" s="14"/>
      <c r="D36" s="114"/>
      <c r="E36" s="77"/>
      <c r="F36" s="120"/>
      <c r="G36" s="122"/>
      <c r="H36" s="72"/>
      <c r="I36" s="72"/>
      <c r="J36" s="72"/>
      <c r="K36" s="122"/>
      <c r="L36" s="72"/>
      <c r="M36" s="122"/>
      <c r="N36" s="122"/>
      <c r="O36" s="122"/>
      <c r="P36" s="122"/>
      <c r="Q36" s="72"/>
      <c r="R36" s="120"/>
      <c r="S36" s="122"/>
      <c r="T36" s="122"/>
      <c r="U36" s="72"/>
      <c r="V36" s="122"/>
      <c r="W36" s="122"/>
      <c r="X36" s="72"/>
      <c r="Y36" s="122"/>
      <c r="Z36" s="122"/>
      <c r="AA36" s="122"/>
      <c r="AB36" s="122"/>
      <c r="AC36" s="122"/>
      <c r="AD36" s="72"/>
      <c r="AE36" s="122"/>
      <c r="AF36" s="122"/>
      <c r="AG36" s="122"/>
      <c r="AH36" s="122"/>
      <c r="AI36" s="122"/>
      <c r="AJ36" s="122"/>
      <c r="AK36" s="77"/>
      <c r="AM36" s="99"/>
      <c r="AN36" s="10"/>
      <c r="AO36" s="10"/>
      <c r="AP36" s="10"/>
      <c r="AQ36" s="10"/>
      <c r="AR36" s="10"/>
      <c r="AS36" s="14"/>
      <c r="AT36" s="4"/>
    </row>
    <row r="37" spans="1:91" s="73" customFormat="1" ht="12.75">
      <c r="A37" s="2"/>
      <c r="B37" s="2" t="s">
        <v>0</v>
      </c>
      <c r="C37" s="2"/>
      <c r="D37" s="214"/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4"/>
    </row>
    <row r="38" spans="1:91" s="73" customFormat="1" ht="12.75">
      <c r="A38" s="2"/>
      <c r="B38" s="2"/>
      <c r="C38" s="2" t="s">
        <v>46</v>
      </c>
      <c r="D38" s="214"/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4" customFormat="1" ht="15" customHeight="1">
      <c r="A41" s="2"/>
      <c r="B41" s="2"/>
      <c r="C41" s="2" t="s">
        <v>49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4" customFormat="1" ht="15" customHeight="1">
      <c r="A42" s="2"/>
      <c r="B42" s="2"/>
      <c r="C42" s="2" t="s">
        <v>50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4" customFormat="1" ht="15" customHeight="1">
      <c r="A43" s="2"/>
      <c r="B43" s="2"/>
      <c r="C43" s="2" t="s">
        <v>51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4" customFormat="1" ht="15" customHeight="1">
      <c r="A44" s="2"/>
      <c r="B44" s="2"/>
      <c r="C44" s="2" t="s">
        <v>52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4" customFormat="1" ht="15" customHeight="1">
      <c r="A45" s="2"/>
      <c r="B45" s="2"/>
      <c r="C45" s="2" t="s">
        <v>53</v>
      </c>
      <c r="E45" s="2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4"/>
      <c r="AI45" s="124"/>
      <c r="AJ45" s="124"/>
      <c r="AK45" s="2"/>
      <c r="AL45" s="2"/>
      <c r="AM45" s="10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4" customFormat="1" ht="15" customHeight="1">
      <c r="A46" s="2"/>
      <c r="B46" s="2"/>
      <c r="C46" s="2" t="s">
        <v>54</v>
      </c>
      <c r="E46" s="2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4"/>
      <c r="AI46" s="124"/>
      <c r="AJ46" s="124"/>
      <c r="AK46" s="2"/>
      <c r="AL46" s="2"/>
      <c r="AM46" s="10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8:A29"/>
    <mergeCell ref="B28:B29"/>
    <mergeCell ref="C28:C29"/>
    <mergeCell ref="D28:D29"/>
    <mergeCell ref="AK28:AK29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C13:C14"/>
    <mergeCell ref="D13:D14"/>
    <mergeCell ref="AK13:AK14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D26:D27"/>
    <mergeCell ref="AK26:AK2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28:AM29"/>
    <mergeCell ref="AN28:AN29"/>
    <mergeCell ref="AO28:AO29"/>
    <mergeCell ref="AP28:AP29"/>
    <mergeCell ref="AQ28:AQ2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Q16:AQ17"/>
    <mergeCell ref="A13:A14"/>
    <mergeCell ref="B13:B14"/>
    <mergeCell ref="D11:D12"/>
    <mergeCell ref="AK11:AK12"/>
    <mergeCell ref="AM13:AM14"/>
    <mergeCell ref="AN13:AN14"/>
    <mergeCell ref="AO13:AO14"/>
    <mergeCell ref="AP13:AP14"/>
    <mergeCell ref="AQ13:AQ14"/>
    <mergeCell ref="AL16:AL17"/>
    <mergeCell ref="AM16:AM17"/>
    <mergeCell ref="AN16:AN17"/>
    <mergeCell ref="AO16:AO17"/>
    <mergeCell ref="AP16:AP17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D24:D25"/>
    <mergeCell ref="AK24:AK25"/>
    <mergeCell ref="AL24:AL25"/>
    <mergeCell ref="AM24:AM25"/>
    <mergeCell ref="AN24:AN25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0:AO21"/>
    <mergeCell ref="AP20:AP21"/>
    <mergeCell ref="AQ20:AQ21"/>
    <mergeCell ref="AR20:AR21"/>
    <mergeCell ref="AS20:AS21"/>
    <mergeCell ref="D20:D21"/>
    <mergeCell ref="AK20:AK21"/>
    <mergeCell ref="AL20:AL21"/>
    <mergeCell ref="AM20:AM21"/>
    <mergeCell ref="AN20:AN21"/>
  </mergeCells>
  <conditionalFormatting sqref="F5:AJ6 F9:AJ14">
    <cfRule type="expression" dxfId="3" priority="42" stopIfTrue="1">
      <formula>IF(WEEKDAY(F$5)=1,TRUE,FALSE)</formula>
    </cfRule>
  </conditionalFormatting>
  <conditionalFormatting sqref="F9:AJ14">
    <cfRule type="expression" dxfId="2" priority="41" stopIfTrue="1">
      <formula>IF(WEEKDAY(F$5)=1,TRUE,FALSE)</formula>
    </cfRule>
  </conditionalFormatting>
  <conditionalFormatting sqref="F16:AJ29">
    <cfRule type="expression" dxfId="1" priority="2" stopIfTrue="1">
      <formula>IF(WEEKDAY(F$5)=1,TRUE,FALSE)</formula>
    </cfRule>
  </conditionalFormatting>
  <conditionalFormatting sqref="F16:AJ29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2" t="str">
        <f>"BẢNG THANH TOÁN LƯƠNG THÁNG"&amp;" "&amp;TEXT($E$4,"mm")&amp;" / "&amp;TEXT($E$4,"yyyy")</f>
        <v>BẢNG THANH TOÁN LƯƠNG THÁNG 12 / 2016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3"/>
      <c r="R1" s="274" t="s">
        <v>171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MAX(F10:F24)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-12'!$E$4</f>
        <v>42705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40" t="s">
        <v>1</v>
      </c>
      <c r="D5" s="240" t="s">
        <v>2</v>
      </c>
      <c r="E5" s="243" t="s">
        <v>56</v>
      </c>
      <c r="F5" s="280" t="s">
        <v>26</v>
      </c>
      <c r="G5" s="281"/>
      <c r="H5" s="281"/>
      <c r="I5" s="281"/>
      <c r="J5" s="281"/>
      <c r="K5" s="282"/>
      <c r="L5" s="279" t="s">
        <v>57</v>
      </c>
      <c r="M5" s="279" t="s">
        <v>5</v>
      </c>
      <c r="N5" s="240" t="s">
        <v>6</v>
      </c>
      <c r="O5" s="240"/>
      <c r="P5" s="240"/>
      <c r="Q5" s="279" t="s">
        <v>7</v>
      </c>
      <c r="R5" s="279" t="s">
        <v>8</v>
      </c>
      <c r="S5" s="279" t="s">
        <v>9</v>
      </c>
      <c r="T5" s="24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40"/>
      <c r="D6" s="240"/>
      <c r="E6" s="243"/>
      <c r="F6" s="280" t="s">
        <v>59</v>
      </c>
      <c r="G6" s="282"/>
      <c r="H6" s="280" t="s">
        <v>157</v>
      </c>
      <c r="I6" s="281"/>
      <c r="J6" s="286" t="s">
        <v>27</v>
      </c>
      <c r="K6" s="279" t="s">
        <v>4</v>
      </c>
      <c r="L6" s="283"/>
      <c r="M6" s="283"/>
      <c r="N6" s="288" t="s">
        <v>12</v>
      </c>
      <c r="O6" s="279" t="s">
        <v>13</v>
      </c>
      <c r="P6" s="279" t="s">
        <v>34</v>
      </c>
      <c r="Q6" s="283"/>
      <c r="R6" s="283"/>
      <c r="S6" s="283"/>
      <c r="T6" s="24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79"/>
      <c r="D7" s="279"/>
      <c r="E7" s="243"/>
      <c r="F7" s="218" t="s">
        <v>40</v>
      </c>
      <c r="G7" s="215" t="s">
        <v>18</v>
      </c>
      <c r="H7" s="218" t="s">
        <v>40</v>
      </c>
      <c r="I7" s="128" t="s">
        <v>18</v>
      </c>
      <c r="J7" s="287"/>
      <c r="K7" s="283"/>
      <c r="L7" s="284"/>
      <c r="M7" s="284"/>
      <c r="N7" s="289"/>
      <c r="O7" s="283"/>
      <c r="P7" s="283"/>
      <c r="Q7" s="283"/>
      <c r="R7" s="283"/>
      <c r="S7" s="283"/>
      <c r="T7" s="24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154</v>
      </c>
      <c r="B9" s="187" t="s">
        <v>172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160</v>
      </c>
      <c r="C10" s="89" t="str">
        <f t="shared" ref="C10:C12" si="0">VLOOKUP(B10,DS,2,0)</f>
        <v>Nguyễn Thị Thu Sương</v>
      </c>
      <c r="D10" s="116" t="str">
        <f t="shared" ref="D10:D12" si="1">VLOOKUP(B10,DS,3,0)</f>
        <v>Kinh Doanh</v>
      </c>
      <c r="E10" s="90">
        <f t="shared" ref="E10:E12" si="2">VLOOKUP(B10,DS,4,0)</f>
        <v>5200000</v>
      </c>
      <c r="F10" s="92">
        <f>VLOOKUP(B10,'CC -12'!$B$8:$AS$29,36,0)</f>
        <v>27</v>
      </c>
      <c r="G10" s="145">
        <f t="shared" ref="G10:G12" si="3">ROUND(E10/$U$2*F10,0)</f>
        <v>5200000</v>
      </c>
      <c r="H10" s="92">
        <f>(VLOOKUP(B10,'CC -12'!$B$8:$AS$29,37,0)+VLOOKUP(B10,'CC -12'!$B$8:$AS$29,38,0))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5200000</v>
      </c>
      <c r="L10" s="90">
        <f t="shared" ref="L10:L12" si="6">+F10*15000</f>
        <v>405000</v>
      </c>
      <c r="M10" s="40">
        <f t="shared" ref="M10:M12" si="7">K10+L10</f>
        <v>5605000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5605000</v>
      </c>
      <c r="R10" s="39">
        <f>VLOOKUP(B10,DS,23,0)</f>
        <v>0</v>
      </c>
      <c r="S10" s="45">
        <f t="shared" ref="S10:S12" si="9">Q10-R10</f>
        <v>5605000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161</v>
      </c>
      <c r="C11" s="89" t="str">
        <f t="shared" ref="C11" si="10">VLOOKUP(B11,DS,2,0)</f>
        <v>Trần Anh Nhựt</v>
      </c>
      <c r="D11" s="116" t="str">
        <f t="shared" ref="D11" si="11">VLOOKUP(B11,DS,3,0)</f>
        <v>Thiết Kế</v>
      </c>
      <c r="E11" s="90">
        <f t="shared" ref="E11" si="12">VLOOKUP(B11,DS,4,0)</f>
        <v>5200000</v>
      </c>
      <c r="F11" s="92">
        <f>VLOOKUP(B11,'CC -12'!$B$8:$AS$29,36,0)</f>
        <v>27</v>
      </c>
      <c r="G11" s="145">
        <f t="shared" ref="G11" si="13">ROUND(E11/$U$2*F11,0)</f>
        <v>5200000</v>
      </c>
      <c r="H11" s="92">
        <f>(VLOOKUP(B11,'CC -12'!$B$8:$AS$29,37,0)+VLOOKUP(B11,'CC -12'!$B$8:$AS$29,38,0))</f>
        <v>0</v>
      </c>
      <c r="I11" s="145">
        <f t="shared" ref="I11" si="14">ROUND(E11/$U$2*H11,0)</f>
        <v>0</v>
      </c>
      <c r="J11" s="93">
        <f t="shared" ref="J11" si="15">F11+H11</f>
        <v>27</v>
      </c>
      <c r="K11" s="39">
        <f t="shared" ref="K11" si="16">G11+I11</f>
        <v>5200000</v>
      </c>
      <c r="L11" s="90">
        <f t="shared" ref="L11" si="17">+F11*15000</f>
        <v>405000</v>
      </c>
      <c r="M11" s="40">
        <f t="shared" ref="M11" si="18">K11+L11</f>
        <v>5605000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5605000</v>
      </c>
      <c r="R11" s="39">
        <f>VLOOKUP(B11,DS,23,0)</f>
        <v>0</v>
      </c>
      <c r="S11" s="45">
        <f t="shared" ref="S11" si="20">Q11-R11</f>
        <v>5605000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169</v>
      </c>
      <c r="C12" s="89" t="str">
        <f t="shared" si="0"/>
        <v>Huỳnh Minh Toàn</v>
      </c>
      <c r="D12" s="116" t="str">
        <f t="shared" si="1"/>
        <v>Thủ Kho</v>
      </c>
      <c r="E12" s="90">
        <f t="shared" si="2"/>
        <v>5700000</v>
      </c>
      <c r="F12" s="92">
        <f>VLOOKUP(B12,'CC -12'!$B$8:$AS$29,36,0)</f>
        <v>27</v>
      </c>
      <c r="G12" s="145">
        <f t="shared" si="3"/>
        <v>5700000</v>
      </c>
      <c r="H12" s="92">
        <f>(VLOOKUP(B12,'CC -12'!$B$8:$AS$29,37,0)+VLOOKUP(B12,'CC -12'!$B$8:$AS$29,38,0))</f>
        <v>0</v>
      </c>
      <c r="I12" s="145">
        <f t="shared" si="4"/>
        <v>0</v>
      </c>
      <c r="J12" s="93">
        <f t="shared" si="5"/>
        <v>27</v>
      </c>
      <c r="K12" s="39">
        <f t="shared" si="5"/>
        <v>5700000</v>
      </c>
      <c r="L12" s="90">
        <f t="shared" si="6"/>
        <v>405000</v>
      </c>
      <c r="M12" s="40">
        <f t="shared" si="7"/>
        <v>6105000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6105000</v>
      </c>
      <c r="R12" s="39">
        <f>VLOOKUP(B12,DS,23,0)</f>
        <v>0</v>
      </c>
      <c r="S12" s="45">
        <f t="shared" si="9"/>
        <v>6105000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85" t="s">
        <v>25</v>
      </c>
      <c r="B14" s="285"/>
      <c r="C14" s="285"/>
      <c r="D14" s="285"/>
      <c r="E14" s="140">
        <f>SUM(E9:E13)</f>
        <v>16100000</v>
      </c>
      <c r="F14" s="140"/>
      <c r="G14" s="140">
        <f>SUM(G9:G13)</f>
        <v>16100000</v>
      </c>
      <c r="H14" s="140"/>
      <c r="I14" s="140">
        <f>SUM(I9:I13)</f>
        <v>0</v>
      </c>
      <c r="J14" s="140"/>
      <c r="K14" s="140">
        <f t="shared" ref="K14:S14" si="21">SUM(K9:K13)</f>
        <v>16100000</v>
      </c>
      <c r="L14" s="140">
        <f t="shared" si="21"/>
        <v>1215000</v>
      </c>
      <c r="M14" s="140">
        <f t="shared" si="21"/>
        <v>17315000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17315000</v>
      </c>
      <c r="R14" s="140">
        <f t="shared" si="21"/>
        <v>0</v>
      </c>
      <c r="S14" s="140">
        <f t="shared" si="21"/>
        <v>17315000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155</v>
      </c>
      <c r="B15" s="187" t="s">
        <v>156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162</v>
      </c>
      <c r="C16" s="89" t="str">
        <f t="shared" ref="C16:C20" si="22">VLOOKUP(B16,DS,2,0)</f>
        <v>Nguyễn Trường Giang</v>
      </c>
      <c r="D16" s="116" t="str">
        <f t="shared" ref="D16:D20" si="23">VLOOKUP(B16,DS,3,0)</f>
        <v>Thợ in</v>
      </c>
      <c r="E16" s="90">
        <f t="shared" ref="E16:E20" si="24">VLOOKUP(B16,DS,4,0)</f>
        <v>5200000</v>
      </c>
      <c r="F16" s="92">
        <f>VLOOKUP(B16,'CC -12'!$B$8:$AS$29,36,0)</f>
        <v>27</v>
      </c>
      <c r="G16" s="145">
        <f t="shared" ref="G16:G20" si="25">ROUND(E16/$U$2*F16,0)</f>
        <v>5200000</v>
      </c>
      <c r="H16" s="92">
        <f>(VLOOKUP(B16,'CC -12'!$B$8:$AS$29,37,0)+VLOOKUP(B16,'CC -12'!$B$8:$AS$29,38,0))</f>
        <v>0</v>
      </c>
      <c r="I16" s="145">
        <f t="shared" ref="I16:I20" si="26">ROUND(E16/$U$2*H16,0)</f>
        <v>0</v>
      </c>
      <c r="J16" s="146">
        <f t="shared" ref="J16:K20" si="27">F16+H16</f>
        <v>27</v>
      </c>
      <c r="K16" s="39">
        <f t="shared" si="27"/>
        <v>5200000</v>
      </c>
      <c r="L16" s="90">
        <f t="shared" ref="L16:L20" si="28">+F16*15000</f>
        <v>405000</v>
      </c>
      <c r="M16" s="40">
        <f t="shared" ref="M16:M20" si="29">K16+L16</f>
        <v>5605000</v>
      </c>
      <c r="N16" s="40">
        <f>IF(VLOOKUP(B16,DS,9,0)="x",'L - 12'!E16*$N$4,0)</f>
        <v>0</v>
      </c>
      <c r="O16" s="40">
        <f t="shared" ref="O16:O20" si="30">IF(VLOOKUP(B16,DS,9,0)="x",E16*0.015,0)</f>
        <v>0</v>
      </c>
      <c r="P16" s="40">
        <f t="shared" ref="P16:P20" si="31">IF(VLOOKUP(B16,DS,9,0)="x",E16*0.01,0)</f>
        <v>0</v>
      </c>
      <c r="Q16" s="39">
        <f>M16-SUM(N16:P16)</f>
        <v>5605000</v>
      </c>
      <c r="R16" s="39">
        <f t="shared" ref="R16:R20" si="32">VLOOKUP(B16,DS,23,0)</f>
        <v>0</v>
      </c>
      <c r="S16" s="45">
        <f>Q16-R16</f>
        <v>5605000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163</v>
      </c>
      <c r="C17" s="89" t="str">
        <f t="shared" ref="C17:C18" si="33">VLOOKUP(B17,DS,2,0)</f>
        <v>Võ Văn Kiệt</v>
      </c>
      <c r="D17" s="116" t="str">
        <f t="shared" ref="D17:D18" si="34">VLOOKUP(B17,DS,3,0)</f>
        <v>Công Đoạn 1</v>
      </c>
      <c r="E17" s="90">
        <f t="shared" ref="E17:E18" si="35">VLOOKUP(B17,DS,4,0)</f>
        <v>5200000</v>
      </c>
      <c r="F17" s="92">
        <f>VLOOKUP(B17,'CC -12'!$B$8:$AS$29,36,0)</f>
        <v>27</v>
      </c>
      <c r="G17" s="145">
        <f t="shared" ref="G17:G18" si="36">ROUND(E17/$U$2*F17,0)</f>
        <v>5200000</v>
      </c>
      <c r="H17" s="92">
        <f>(VLOOKUP(B17,'CC -12'!$B$8:$AS$29,37,0)+VLOOKUP(B17,'CC -12'!$B$8:$AS$29,38,0))</f>
        <v>0</v>
      </c>
      <c r="I17" s="145">
        <f t="shared" ref="I17:I18" si="37">ROUND(E17/$U$2*H17,0)</f>
        <v>0</v>
      </c>
      <c r="J17" s="146">
        <f t="shared" ref="J17:J18" si="38">F17+H17</f>
        <v>27</v>
      </c>
      <c r="K17" s="39">
        <f t="shared" ref="K17:K18" si="39">G17+I17</f>
        <v>5200000</v>
      </c>
      <c r="L17" s="90">
        <f t="shared" ref="L17:L18" si="40">+F17*15000</f>
        <v>405000</v>
      </c>
      <c r="M17" s="40">
        <f t="shared" ref="M17:M18" si="41">K17+L17</f>
        <v>5605000</v>
      </c>
      <c r="N17" s="40">
        <f>IF(VLOOKUP(B17,DS,9,0)="x",'L - 12'!E17*$N$4,0)</f>
        <v>0</v>
      </c>
      <c r="O17" s="40">
        <f t="shared" ref="O17:O18" si="42">IF(VLOOKUP(B17,DS,9,0)="x",E17*0.015,0)</f>
        <v>0</v>
      </c>
      <c r="P17" s="40">
        <f t="shared" ref="P17:P18" si="43">IF(VLOOKUP(B17,DS,9,0)="x",E17*0.01,0)</f>
        <v>0</v>
      </c>
      <c r="Q17" s="39">
        <f t="shared" ref="Q17:Q18" si="44">M17-SUM(N17:P17)</f>
        <v>5605000</v>
      </c>
      <c r="R17" s="39">
        <f t="shared" ref="R17:R18" si="45">VLOOKUP(B17,DS,23,0)</f>
        <v>0</v>
      </c>
      <c r="S17" s="45">
        <f t="shared" ref="S17:S18" si="46">Q17-R17</f>
        <v>5605000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164</v>
      </c>
      <c r="C18" s="89" t="str">
        <f t="shared" si="33"/>
        <v>Diệp Văn Lân</v>
      </c>
      <c r="D18" s="116" t="str">
        <f t="shared" si="34"/>
        <v>Công Đoạn 1</v>
      </c>
      <c r="E18" s="90">
        <f t="shared" si="35"/>
        <v>4500000</v>
      </c>
      <c r="F18" s="92">
        <f>VLOOKUP(B18,'CC -12'!$B$8:$AS$29,36,0)</f>
        <v>27</v>
      </c>
      <c r="G18" s="145">
        <f t="shared" si="36"/>
        <v>4500000</v>
      </c>
      <c r="H18" s="92">
        <f>(VLOOKUP(B18,'CC -12'!$B$8:$AS$29,37,0)+VLOOKUP(B18,'CC -12'!$B$8:$AS$29,38,0))</f>
        <v>0</v>
      </c>
      <c r="I18" s="145">
        <f t="shared" si="37"/>
        <v>0</v>
      </c>
      <c r="J18" s="146">
        <f t="shared" si="38"/>
        <v>27</v>
      </c>
      <c r="K18" s="39">
        <f t="shared" si="39"/>
        <v>4500000</v>
      </c>
      <c r="L18" s="90">
        <f t="shared" si="40"/>
        <v>405000</v>
      </c>
      <c r="M18" s="40">
        <f t="shared" si="41"/>
        <v>4905000</v>
      </c>
      <c r="N18" s="40">
        <f>IF(VLOOKUP(B18,DS,9,0)="x",'L - 12'!E18*$N$4,0)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4905000</v>
      </c>
      <c r="R18" s="39">
        <f t="shared" si="45"/>
        <v>0</v>
      </c>
      <c r="S18" s="45">
        <f t="shared" si="46"/>
        <v>4905000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180</v>
      </c>
      <c r="C19" s="89" t="str">
        <f t="shared" si="22"/>
        <v>Dương Thế Kiệt</v>
      </c>
      <c r="D19" s="116" t="str">
        <f t="shared" si="23"/>
        <v>Công Đoạn 1</v>
      </c>
      <c r="E19" s="90">
        <f t="shared" si="24"/>
        <v>4500000</v>
      </c>
      <c r="F19" s="92">
        <f>VLOOKUP(B19,'CC -12'!$B$8:$AS$29,36,0)</f>
        <v>27</v>
      </c>
      <c r="G19" s="145">
        <f t="shared" si="25"/>
        <v>4500000</v>
      </c>
      <c r="H19" s="92">
        <f>(VLOOKUP(B19,'CC -12'!$B$8:$AS$29,37,0)+VLOOKUP(B19,'CC -12'!$B$8:$AS$29,38,0))</f>
        <v>0</v>
      </c>
      <c r="I19" s="145">
        <f t="shared" si="26"/>
        <v>0</v>
      </c>
      <c r="J19" s="146">
        <f t="shared" si="27"/>
        <v>27</v>
      </c>
      <c r="K19" s="39">
        <f t="shared" si="27"/>
        <v>4500000</v>
      </c>
      <c r="L19" s="90">
        <f t="shared" si="28"/>
        <v>405000</v>
      </c>
      <c r="M19" s="40">
        <f t="shared" si="29"/>
        <v>4905000</v>
      </c>
      <c r="N19" s="40">
        <f>IF(VLOOKUP(B19,DS,9,0)="x",'L - 12'!E19*$N$4,0)</f>
        <v>0</v>
      </c>
      <c r="O19" s="40">
        <f t="shared" si="30"/>
        <v>0</v>
      </c>
      <c r="P19" s="40">
        <f t="shared" si="31"/>
        <v>0</v>
      </c>
      <c r="Q19" s="39">
        <f t="shared" ref="Q19:Q20" si="47">M19-SUM(N19:P19)</f>
        <v>4905000</v>
      </c>
      <c r="R19" s="39">
        <f t="shared" si="32"/>
        <v>0</v>
      </c>
      <c r="S19" s="45">
        <f t="shared" ref="S19:S20" si="48">Q19-R19</f>
        <v>4905000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182</v>
      </c>
      <c r="C20" s="89" t="str">
        <f t="shared" si="22"/>
        <v>Lê Văn Hữu</v>
      </c>
      <c r="D20" s="116" t="str">
        <f t="shared" si="23"/>
        <v>Công Đoạn 2</v>
      </c>
      <c r="E20" s="90">
        <f t="shared" si="24"/>
        <v>5200000</v>
      </c>
      <c r="F20" s="92">
        <f>VLOOKUP(B20,'CC -12'!$B$8:$AS$29,36,0)</f>
        <v>27</v>
      </c>
      <c r="G20" s="145">
        <f t="shared" si="25"/>
        <v>5200000</v>
      </c>
      <c r="H20" s="92">
        <f>(VLOOKUP(B20,'CC -12'!$B$8:$AS$29,37,0)+VLOOKUP(B20,'CC -12'!$B$8:$AS$29,38,0))</f>
        <v>0</v>
      </c>
      <c r="I20" s="145">
        <f t="shared" si="26"/>
        <v>0</v>
      </c>
      <c r="J20" s="146">
        <f t="shared" si="27"/>
        <v>27</v>
      </c>
      <c r="K20" s="39">
        <f t="shared" si="27"/>
        <v>5200000</v>
      </c>
      <c r="L20" s="90">
        <f t="shared" si="28"/>
        <v>405000</v>
      </c>
      <c r="M20" s="40">
        <f t="shared" si="29"/>
        <v>5605000</v>
      </c>
      <c r="N20" s="40">
        <f>IF(VLOOKUP(B20,DS,9,0)="x",'L - 12'!E20*$N$4,0)</f>
        <v>0</v>
      </c>
      <c r="O20" s="40">
        <f t="shared" si="30"/>
        <v>0</v>
      </c>
      <c r="P20" s="40">
        <f t="shared" si="31"/>
        <v>0</v>
      </c>
      <c r="Q20" s="39">
        <f t="shared" si="47"/>
        <v>5605000</v>
      </c>
      <c r="R20" s="39">
        <f t="shared" si="32"/>
        <v>0</v>
      </c>
      <c r="S20" s="45">
        <f t="shared" si="48"/>
        <v>5605000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185</v>
      </c>
      <c r="C21" s="89" t="str">
        <f t="shared" ref="C21:C22" si="49">VLOOKUP(B21,DS,2,0)</f>
        <v>Bùi Trường Giang</v>
      </c>
      <c r="D21" s="116" t="str">
        <f t="shared" ref="D21:D22" si="50">VLOOKUP(B21,DS,3,0)</f>
        <v>Công Đoạn 2</v>
      </c>
      <c r="E21" s="90">
        <f t="shared" ref="E21:E22" si="51">VLOOKUP(B21,DS,4,0)</f>
        <v>4500000</v>
      </c>
      <c r="F21" s="92">
        <f>VLOOKUP(B21,'CC -12'!$B$8:$AS$29,36,0)</f>
        <v>27</v>
      </c>
      <c r="G21" s="145">
        <f t="shared" ref="G21:G22" si="52">ROUND(E21/$U$2*F21,0)</f>
        <v>4500000</v>
      </c>
      <c r="H21" s="92">
        <f>(VLOOKUP(B21,'CC -12'!$B$8:$AS$29,37,0)+VLOOKUP(B21,'CC -12'!$B$8:$AS$29,38,0))</f>
        <v>0</v>
      </c>
      <c r="I21" s="145">
        <f t="shared" ref="I21:I22" si="53">ROUND(E21/$U$2*H21,0)</f>
        <v>0</v>
      </c>
      <c r="J21" s="146">
        <f t="shared" ref="J21:J22" si="54">F21+H21</f>
        <v>27</v>
      </c>
      <c r="K21" s="39">
        <f t="shared" ref="K21:K22" si="55">G21+I21</f>
        <v>4500000</v>
      </c>
      <c r="L21" s="90">
        <f t="shared" ref="L21:L22" si="56">+F21*15000</f>
        <v>405000</v>
      </c>
      <c r="M21" s="40">
        <f t="shared" ref="M21:M22" si="57">K21+L21</f>
        <v>4905000</v>
      </c>
      <c r="N21" s="40">
        <f>IF(VLOOKUP(B21,DS,9,0)="x",'L - 12'!E21*$N$4,0)</f>
        <v>0</v>
      </c>
      <c r="O21" s="40">
        <f t="shared" ref="O21:O22" si="58">IF(VLOOKUP(B21,DS,9,0)="x",E21*0.015,0)</f>
        <v>0</v>
      </c>
      <c r="P21" s="40">
        <f t="shared" ref="P21:P22" si="59">IF(VLOOKUP(B21,DS,9,0)="x",E21*0.01,0)</f>
        <v>0</v>
      </c>
      <c r="Q21" s="39">
        <f t="shared" ref="Q21:Q22" si="60">M21-SUM(N21:P21)</f>
        <v>4905000</v>
      </c>
      <c r="R21" s="39">
        <f t="shared" ref="R21:R22" si="61">VLOOKUP(B21,DS,23,0)</f>
        <v>0</v>
      </c>
      <c r="S21" s="45">
        <f t="shared" ref="S21:S22" si="62">Q21-R21</f>
        <v>4905000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4" customHeight="1">
      <c r="A22" s="38">
        <v>7</v>
      </c>
      <c r="B22" s="141" t="s">
        <v>187</v>
      </c>
      <c r="C22" s="89" t="str">
        <f t="shared" si="49"/>
        <v>Nguyễn T Bích Thủy</v>
      </c>
      <c r="D22" s="116" t="str">
        <f t="shared" si="50"/>
        <v>Công Đoạn 2</v>
      </c>
      <c r="E22" s="90">
        <f t="shared" si="51"/>
        <v>4500000</v>
      </c>
      <c r="F22" s="92">
        <f>VLOOKUP(B22,'CC -12'!$B$8:$AS$29,36,0)</f>
        <v>27</v>
      </c>
      <c r="G22" s="145">
        <f t="shared" si="52"/>
        <v>4500000</v>
      </c>
      <c r="H22" s="92">
        <f>(VLOOKUP(B22,'CC -12'!$B$8:$AS$29,37,0)+VLOOKUP(B22,'CC -12'!$B$8:$AS$29,38,0))</f>
        <v>0</v>
      </c>
      <c r="I22" s="145">
        <f t="shared" si="53"/>
        <v>0</v>
      </c>
      <c r="J22" s="146">
        <f t="shared" si="54"/>
        <v>27</v>
      </c>
      <c r="K22" s="39">
        <f t="shared" si="55"/>
        <v>4500000</v>
      </c>
      <c r="L22" s="90">
        <f t="shared" si="56"/>
        <v>405000</v>
      </c>
      <c r="M22" s="40">
        <f t="shared" si="57"/>
        <v>4905000</v>
      </c>
      <c r="N22" s="40">
        <f>IF(VLOOKUP(B22,DS,9,0)="x",'L - 12'!E22*$N$4,0)</f>
        <v>0</v>
      </c>
      <c r="O22" s="40">
        <f t="shared" si="58"/>
        <v>0</v>
      </c>
      <c r="P22" s="40">
        <f t="shared" si="59"/>
        <v>0</v>
      </c>
      <c r="Q22" s="39">
        <f t="shared" si="60"/>
        <v>4905000</v>
      </c>
      <c r="R22" s="39">
        <f t="shared" si="61"/>
        <v>0</v>
      </c>
      <c r="S22" s="45">
        <f t="shared" si="62"/>
        <v>4905000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2.5" customHeight="1">
      <c r="A23" s="41"/>
      <c r="B23" s="185"/>
      <c r="C23" s="42"/>
      <c r="D23" s="3"/>
      <c r="E23" s="43"/>
      <c r="F23" s="43"/>
      <c r="G23" s="43"/>
      <c r="H23" s="43"/>
      <c r="I23" s="43"/>
      <c r="J23" s="44"/>
      <c r="K23" s="43"/>
      <c r="L23" s="43"/>
      <c r="M23" s="184"/>
      <c r="N23" s="43"/>
      <c r="O23" s="43"/>
      <c r="P23" s="43"/>
      <c r="Q23" s="43"/>
      <c r="R23" s="43"/>
      <c r="S23" s="43"/>
      <c r="T23" s="39"/>
      <c r="U23" s="104"/>
      <c r="V23" s="37"/>
      <c r="W23" s="37"/>
      <c r="X23" s="37"/>
      <c r="Y23" s="37"/>
      <c r="Z23" s="37"/>
    </row>
    <row r="24" spans="1:31" s="32" customFormat="1" ht="21" customHeight="1">
      <c r="A24" s="285" t="s">
        <v>25</v>
      </c>
      <c r="B24" s="285"/>
      <c r="C24" s="285"/>
      <c r="D24" s="285"/>
      <c r="E24" s="140">
        <f>SUM(E15:E23)</f>
        <v>33600000</v>
      </c>
      <c r="F24" s="140"/>
      <c r="G24" s="140">
        <f>SUM(G15:G23)</f>
        <v>33600000</v>
      </c>
      <c r="H24" s="140"/>
      <c r="I24" s="140">
        <f>SUM(I15:I23)</f>
        <v>0</v>
      </c>
      <c r="J24" s="140"/>
      <c r="K24" s="140">
        <f t="shared" ref="K24:S24" si="63">SUM(K15:K23)</f>
        <v>33600000</v>
      </c>
      <c r="L24" s="140">
        <f t="shared" si="63"/>
        <v>2835000</v>
      </c>
      <c r="M24" s="140">
        <f t="shared" si="63"/>
        <v>36435000</v>
      </c>
      <c r="N24" s="140">
        <f t="shared" si="63"/>
        <v>0</v>
      </c>
      <c r="O24" s="140">
        <f t="shared" si="63"/>
        <v>0</v>
      </c>
      <c r="P24" s="140">
        <f t="shared" si="63"/>
        <v>0</v>
      </c>
      <c r="Q24" s="140">
        <f t="shared" si="63"/>
        <v>36435000</v>
      </c>
      <c r="R24" s="140">
        <f t="shared" si="63"/>
        <v>0</v>
      </c>
      <c r="S24" s="140">
        <f t="shared" si="63"/>
        <v>36435000</v>
      </c>
      <c r="T24" s="26"/>
      <c r="U24" s="104"/>
      <c r="V24" s="33"/>
      <c r="W24" s="33"/>
      <c r="X24" s="33"/>
      <c r="Y24" s="33"/>
      <c r="Z24" s="33"/>
    </row>
    <row r="25" spans="1:31" ht="11.25" customHeight="1">
      <c r="A25" s="8"/>
      <c r="B25" s="8"/>
      <c r="C25" s="9"/>
      <c r="D25" s="117"/>
      <c r="E25" s="94"/>
      <c r="F25" s="9"/>
      <c r="G25" s="9"/>
      <c r="H25" s="9"/>
      <c r="I25" s="9"/>
      <c r="K25" s="9"/>
      <c r="L25" s="9"/>
      <c r="M25" s="102"/>
      <c r="N25" s="9"/>
      <c r="O25" s="9"/>
      <c r="P25" s="9"/>
      <c r="Q25" s="9"/>
      <c r="R25" s="9"/>
      <c r="S25" s="9"/>
      <c r="T25" s="9"/>
      <c r="U25" s="104"/>
    </row>
    <row r="26" spans="1:31" s="36" customFormat="1" ht="11.25" customHeight="1">
      <c r="A26" s="78"/>
      <c r="B26" s="78"/>
      <c r="C26" s="78"/>
      <c r="D26" s="133"/>
      <c r="E26" s="134"/>
      <c r="F26" s="78"/>
      <c r="G26" s="78"/>
      <c r="H26" s="78"/>
      <c r="I26" s="78"/>
      <c r="J26" s="135"/>
      <c r="K26" s="134"/>
      <c r="L26" s="78"/>
      <c r="M26" s="78"/>
      <c r="N26" s="78"/>
      <c r="O26" s="78"/>
      <c r="P26" s="78"/>
      <c r="Q26" s="78"/>
      <c r="R26" s="78"/>
      <c r="S26" s="108" t="str">
        <f>"Long An, ngày  "&amp;$V$2&amp;"   tháng   "&amp;TEXT(E4,"mm")&amp;"   năm "&amp;TEXT(E4,"yyyy")</f>
        <v>Long An, ngày  31   tháng   12   năm 2016</v>
      </c>
      <c r="T26" s="78"/>
      <c r="U26" s="136"/>
      <c r="V26" s="37"/>
      <c r="W26" s="37"/>
      <c r="X26" s="37"/>
      <c r="Y26" s="37"/>
      <c r="Z26" s="37"/>
    </row>
    <row r="27" spans="1:31" s="36" customFormat="1" ht="12.75">
      <c r="A27" s="29"/>
      <c r="B27" s="29"/>
      <c r="C27" s="29" t="s">
        <v>60</v>
      </c>
      <c r="D27" s="137"/>
      <c r="E27" s="79"/>
      <c r="F27" s="136"/>
      <c r="G27" s="79"/>
      <c r="H27" s="79"/>
      <c r="I27" s="79"/>
      <c r="J27" s="138"/>
      <c r="K27" s="37"/>
      <c r="L27" s="29"/>
      <c r="M27" s="147"/>
      <c r="N27" s="20"/>
      <c r="O27" s="20"/>
      <c r="P27" s="20"/>
      <c r="Q27" s="20"/>
      <c r="S27" s="136" t="s">
        <v>22</v>
      </c>
      <c r="T27" s="136"/>
      <c r="U27" s="136"/>
      <c r="V27" s="37"/>
      <c r="W27" s="37"/>
      <c r="X27" s="37"/>
      <c r="Y27" s="37"/>
      <c r="Z27" s="37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4"/>
    </row>
    <row r="29" spans="1:31" ht="12">
      <c r="C29" s="15"/>
      <c r="L29" s="15"/>
      <c r="T29" s="15"/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  <row r="35" spans="21:21" ht="12">
      <c r="U35" s="104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2016-12-16T06:23:44Z</dcterms:modified>
</cp:coreProperties>
</file>