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  <sheet name="Sheet2 (2)" sheetId="79" r:id="rId26"/>
  </sheets>
  <externalReferences>
    <externalReference r:id="rId27"/>
    <externalReference r:id="rId28"/>
    <externalReference r:id="rId29"/>
    <externalReference r:id="rId30"/>
  </externalReferences>
  <definedNames>
    <definedName name="_C111">TH!$Q$10:$Q$631</definedName>
    <definedName name="_C112">TH!$T$10:$T$631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localSheetId="25" hidden="1">#REF!</definedName>
    <definedName name="_Fill" hidden="1">#REF!</definedName>
    <definedName name="_xlnm._FilterDatabase" localSheetId="4" hidden="1">'111'!$A$12:$J$68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NXT!$A$11:$N$103</definedName>
    <definedName name="_xlnm._FilterDatabase" localSheetId="1" hidden="1">TH!$A$9:$AD$518</definedName>
    <definedName name="_xlnm._FilterDatabase" localSheetId="15" hidden="1">TK!$A$1:$J$1</definedName>
    <definedName name="_M">TH!$B$10:$B$631</definedName>
    <definedName name="_N111">TH!$P$10:$P$631</definedName>
    <definedName name="_N112">TH!$S$10:$S$631</definedName>
    <definedName name="_NXT1">[1]NXT!$M$12:$M$407</definedName>
    <definedName name="_TM1">IF('IN-TC'!$S$4=1,1,IF('IN-TC'!$S$4=2,4,IF('IN-TC'!$S$4=3,7,10)))</definedName>
    <definedName name="_TM2">IF('IN-TC'!$S$4=1,3,IF('IN-TC'!$S$4=2,6,IF('IN-TC'!$S$4=3,9,12)))</definedName>
    <definedName name="DG">TH!$J$10:$J$631</definedName>
    <definedName name="Dong" localSheetId="25">IF('Sheet2 (2)'!Loai="x",ROW('Sheet2 (2)'!Loai)-1,"")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'131'!$B$6:$B$22</definedName>
    <definedName name="DSGT1">BTGT!$B$7:$B$9</definedName>
    <definedName name="DSGT2">BTGT!$B$18:$B$148</definedName>
    <definedName name="DSGT3">BTGT!#REF!</definedName>
    <definedName name="DSGT4">BTGT!#REF!</definedName>
    <definedName name="DSKH">'331'!$B$6:$B$8</definedName>
    <definedName name="DSKHusd">'[2]131'!$B$5:$B$15</definedName>
    <definedName name="DSSP1">BTGT!$B$7:$M$9</definedName>
    <definedName name="DSSP2">BTGT!$B$18:$M$148</definedName>
    <definedName name="DSSP3">BTGT!#REF!</definedName>
    <definedName name="DSSP4">BTGT!#REF!</definedName>
    <definedName name="DSTK" localSheetId="25">[3]CDPS!$A$10:$D$68</definedName>
    <definedName name="DSTK">CDPS!$A$10:$D$62</definedName>
    <definedName name="DSTS1">'SO-TS'!$D$14:$D$17</definedName>
    <definedName name="DSTS2">'SO-TS'!#REF!</definedName>
    <definedName name="KH">TH!$H$10:$H$631</definedName>
    <definedName name="KHC">TH!$M$10:$M$631</definedName>
    <definedName name="KHN">TH!$L$10:$L$631</definedName>
    <definedName name="Loai" localSheetId="25">OFFSET('[3]NK-SC'!$J$11,,,COUNTA('[3]NK-SC'!$J$11:$J$3855))</definedName>
    <definedName name="Loai">OFFSET(TH!$N$5,,,COUNTA(TH!$N$5:$N$38941))</definedName>
    <definedName name="Loai1">OFFSET(TH!$O$5,,,COUNTA(TH!$O$5:$O$38941))</definedName>
    <definedName name="Loai2">OFFSET(TH!$R$5,,,COUNTA(TH!$R$5:$R$38941))</definedName>
    <definedName name="Loai3" localSheetId="25">OFFSET(INDIRECT(ADDRESS(MATCH(RIGHT([1]TH!$C1,2),_NXT1,0)+11,14,,,"NXT")),0,0,COUNTIF(_NXT1,RIGHT([1]TH!$C1,2)),1)</definedName>
    <definedName name="Loai3">OFFSET('SO-TS'!$P$14,,,COUNTA('SO-TS'!$P$14:$P$3889))</definedName>
    <definedName name="Loai4">OFFSET(TH!$U$5,,,COUNTA(TH!$U$5:$U$38941))</definedName>
    <definedName name="Loai5">OFFSET(TH!$V$5,,,COUNTA(TH!$V$5:$V$38941))</definedName>
    <definedName name="Loai6">OFFSET(TH!$Z$5,,,COUNTA(TH!$Z$5:$Z$38941))</definedName>
    <definedName name="Loai7">OFFSET(TH!$W$5,,,COUNTA(TH!$W$5:$W$38941))</definedName>
    <definedName name="Loai8">OFFSET(TH!$X$5,,,COUNTA(TH!$X$5:$X$38941))</definedName>
    <definedName name="Loai9">OFFSET(TH!$Y$5,,,COUNTA(TH!$Y$5:$Y$38941))</definedName>
    <definedName name="MH">TH!$F$10:$F$631</definedName>
    <definedName name="NXT">NXT!$A$12:$A$425</definedName>
    <definedName name="_xlnm.Print_Area" localSheetId="4">'111'!$A$1:$J$81</definedName>
    <definedName name="_xlnm.Print_Area" localSheetId="6">'112'!$A$1:$I$42</definedName>
    <definedName name="_xlnm.Print_Area" localSheetId="7">'131'!$A$1:$H$30</definedName>
    <definedName name="_xlnm.Print_Area" localSheetId="8">'131-CT'!$A$1:$J$46</definedName>
    <definedName name="_xlnm.Print_Area" localSheetId="14">'152-CT'!$B$2:$M$79</definedName>
    <definedName name="_xlnm.Print_Area" localSheetId="20">'154'!$A$2:$M$43</definedName>
    <definedName name="_xlnm.Print_Area" localSheetId="9">'331'!$A$1:$H$17</definedName>
    <definedName name="_xlnm.Print_Area" localSheetId="10">'331-CT'!$A$1:$J$65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16">BTGT!$A$13:$M$149</definedName>
    <definedName name="_xlnm.Print_Area" localSheetId="3">CTTK!$A$2:$I$46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NXT!$B$1:$L$108</definedName>
    <definedName name="_xlnm.Print_Area" localSheetId="24">Sheet2!$A$1:$G$28</definedName>
    <definedName name="_xlnm.Print_Area" localSheetId="25">'Sheet2 (2)'!$A$1:$G$21</definedName>
    <definedName name="_xlnm.Print_Area" localSheetId="18">'SO-TS'!$A$1:$O$33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16">BTGT!$17:$17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_xlnm.Print_Titles" localSheetId="18">'SO-TS'!$9:$12</definedName>
    <definedName name="SL">TH!$I$10:$I$631</definedName>
    <definedName name="TH">TH!$K$10:$K$631</definedName>
    <definedName name="TM">TH!$A$10:$M$631</definedName>
  </definedNames>
  <calcPr calcId="144525"/>
</workbook>
</file>

<file path=xl/calcChain.xml><?xml version="1.0" encoding="utf-8"?>
<calcChain xmlns="http://schemas.openxmlformats.org/spreadsheetml/2006/main">
  <c r="H33" i="56" l="1"/>
  <c r="F33" i="56"/>
  <c r="F32" i="56"/>
  <c r="A11" i="56"/>
  <c r="A10" i="56"/>
  <c r="D7" i="56"/>
  <c r="N24" i="34"/>
  <c r="R24" i="34"/>
  <c r="S24" i="34"/>
  <c r="T24" i="34"/>
  <c r="V24" i="34"/>
  <c r="X24" i="34"/>
  <c r="Y24" i="34"/>
  <c r="N25" i="34"/>
  <c r="R25" i="34"/>
  <c r="S25" i="34"/>
  <c r="T25" i="34"/>
  <c r="V25" i="34"/>
  <c r="X25" i="34"/>
  <c r="Y25" i="34"/>
  <c r="N26" i="34"/>
  <c r="R26" i="34"/>
  <c r="S26" i="34"/>
  <c r="T26" i="34"/>
  <c r="V26" i="34"/>
  <c r="X26" i="34"/>
  <c r="Y26" i="34"/>
  <c r="N27" i="34"/>
  <c r="V27" i="34"/>
  <c r="X27" i="34"/>
  <c r="Y27" i="34"/>
  <c r="N28" i="34"/>
  <c r="R28" i="34"/>
  <c r="S28" i="34"/>
  <c r="T28" i="34"/>
  <c r="V28" i="34"/>
  <c r="X28" i="34"/>
  <c r="Y28" i="34"/>
  <c r="N29" i="34"/>
  <c r="R29" i="34"/>
  <c r="S29" i="34"/>
  <c r="T29" i="34"/>
  <c r="V29" i="34"/>
  <c r="X29" i="34"/>
  <c r="Y29" i="34"/>
  <c r="N30" i="34"/>
  <c r="R30" i="34"/>
  <c r="S30" i="34"/>
  <c r="T30" i="34"/>
  <c r="V30" i="34"/>
  <c r="X30" i="34"/>
  <c r="Y30" i="34"/>
  <c r="N31" i="34"/>
  <c r="R31" i="34"/>
  <c r="S31" i="34"/>
  <c r="T31" i="34"/>
  <c r="V31" i="34"/>
  <c r="X31" i="34"/>
  <c r="Y31" i="34"/>
  <c r="N32" i="34"/>
  <c r="V32" i="34"/>
  <c r="X32" i="34"/>
  <c r="Y32" i="34"/>
  <c r="N33" i="34"/>
  <c r="R33" i="34"/>
  <c r="S33" i="34"/>
  <c r="T33" i="34"/>
  <c r="V33" i="34"/>
  <c r="X33" i="34"/>
  <c r="Y33" i="34"/>
  <c r="N34" i="34"/>
  <c r="R34" i="34"/>
  <c r="S34" i="34"/>
  <c r="T34" i="34"/>
  <c r="V34" i="34"/>
  <c r="X34" i="34"/>
  <c r="Y34" i="34"/>
  <c r="N35" i="34"/>
  <c r="R35" i="34"/>
  <c r="S35" i="34"/>
  <c r="T35" i="34"/>
  <c r="V35" i="34"/>
  <c r="X35" i="34"/>
  <c r="Y35" i="34"/>
  <c r="N36" i="34"/>
  <c r="R36" i="34"/>
  <c r="S36" i="34"/>
  <c r="T36" i="34"/>
  <c r="V36" i="34"/>
  <c r="X36" i="34"/>
  <c r="Y36" i="34"/>
  <c r="N37" i="34"/>
  <c r="R37" i="34"/>
  <c r="S37" i="34"/>
  <c r="T37" i="34"/>
  <c r="V37" i="34"/>
  <c r="X37" i="34"/>
  <c r="Y37" i="34"/>
  <c r="N38" i="34"/>
  <c r="R38" i="34"/>
  <c r="S38" i="34"/>
  <c r="T38" i="34"/>
  <c r="V38" i="34"/>
  <c r="X38" i="34"/>
  <c r="Y38" i="34"/>
  <c r="N39" i="34"/>
  <c r="R39" i="34"/>
  <c r="S39" i="34"/>
  <c r="T39" i="34"/>
  <c r="V39" i="34"/>
  <c r="X39" i="34"/>
  <c r="Y39" i="34"/>
  <c r="N40" i="34"/>
  <c r="R40" i="34"/>
  <c r="S40" i="34"/>
  <c r="T40" i="34"/>
  <c r="V40" i="34"/>
  <c r="X40" i="34"/>
  <c r="Y40" i="34"/>
  <c r="N41" i="34"/>
  <c r="R41" i="34"/>
  <c r="S41" i="34"/>
  <c r="T41" i="34"/>
  <c r="V41" i="34"/>
  <c r="X41" i="34"/>
  <c r="Y41" i="34"/>
  <c r="N42" i="34"/>
  <c r="R42" i="34"/>
  <c r="S42" i="34"/>
  <c r="T42" i="34"/>
  <c r="V42" i="34"/>
  <c r="X42" i="34"/>
  <c r="Y42" i="34"/>
  <c r="N43" i="34"/>
  <c r="R43" i="34"/>
  <c r="S43" i="34"/>
  <c r="T43" i="34"/>
  <c r="V43" i="34"/>
  <c r="X43" i="34"/>
  <c r="Y43" i="34"/>
  <c r="N44" i="34"/>
  <c r="R44" i="34"/>
  <c r="S44" i="34"/>
  <c r="T44" i="34"/>
  <c r="V44" i="34"/>
  <c r="X44" i="34"/>
  <c r="Y44" i="34"/>
  <c r="N45" i="34"/>
  <c r="R45" i="34"/>
  <c r="S45" i="34"/>
  <c r="T45" i="34"/>
  <c r="V45" i="34"/>
  <c r="X45" i="34"/>
  <c r="Y45" i="34"/>
  <c r="N46" i="34"/>
  <c r="R46" i="34"/>
  <c r="S46" i="34"/>
  <c r="T46" i="34"/>
  <c r="V46" i="34"/>
  <c r="X46" i="34"/>
  <c r="Y46" i="34"/>
  <c r="N47" i="34"/>
  <c r="R47" i="34"/>
  <c r="S47" i="34"/>
  <c r="T47" i="34"/>
  <c r="V47" i="34"/>
  <c r="X47" i="34"/>
  <c r="Y47" i="34"/>
  <c r="N48" i="34"/>
  <c r="R48" i="34"/>
  <c r="S48" i="34"/>
  <c r="T48" i="34"/>
  <c r="V48" i="34"/>
  <c r="X48" i="34"/>
  <c r="Y48" i="34"/>
  <c r="N49" i="34"/>
  <c r="R49" i="34"/>
  <c r="S49" i="34"/>
  <c r="T49" i="34"/>
  <c r="V49" i="34"/>
  <c r="X49" i="34"/>
  <c r="Y49" i="34"/>
  <c r="N50" i="34"/>
  <c r="R50" i="34"/>
  <c r="S50" i="34"/>
  <c r="T50" i="34"/>
  <c r="V50" i="34"/>
  <c r="X50" i="34"/>
  <c r="Y50" i="34"/>
  <c r="N51" i="34"/>
  <c r="R51" i="34"/>
  <c r="S51" i="34"/>
  <c r="T51" i="34"/>
  <c r="V51" i="34"/>
  <c r="X51" i="34"/>
  <c r="Y51" i="34"/>
  <c r="N52" i="34"/>
  <c r="V52" i="34"/>
  <c r="X52" i="34"/>
  <c r="Y52" i="34"/>
  <c r="N53" i="34"/>
  <c r="R53" i="34"/>
  <c r="S53" i="34"/>
  <c r="T53" i="34"/>
  <c r="V53" i="34"/>
  <c r="X53" i="34"/>
  <c r="Y53" i="34"/>
  <c r="N54" i="34"/>
  <c r="R54" i="34"/>
  <c r="S54" i="34"/>
  <c r="T54" i="34"/>
  <c r="V54" i="34"/>
  <c r="X54" i="34"/>
  <c r="Y54" i="34"/>
  <c r="N55" i="34"/>
  <c r="R55" i="34"/>
  <c r="S55" i="34"/>
  <c r="T55" i="34"/>
  <c r="V55" i="34"/>
  <c r="X55" i="34"/>
  <c r="Y55" i="34"/>
  <c r="N56" i="34"/>
  <c r="R56" i="34"/>
  <c r="S56" i="34"/>
  <c r="T56" i="34"/>
  <c r="V56" i="34"/>
  <c r="X56" i="34"/>
  <c r="Y56" i="34"/>
  <c r="N57" i="34"/>
  <c r="R57" i="34"/>
  <c r="S57" i="34"/>
  <c r="T57" i="34"/>
  <c r="V57" i="34"/>
  <c r="X57" i="34"/>
  <c r="Y57" i="34"/>
  <c r="N58" i="34"/>
  <c r="V58" i="34"/>
  <c r="X58" i="34"/>
  <c r="Y58" i="34"/>
  <c r="N59" i="34"/>
  <c r="V59" i="34"/>
  <c r="X59" i="34"/>
  <c r="Y59" i="34"/>
  <c r="N60" i="34"/>
  <c r="V60" i="34"/>
  <c r="X60" i="34"/>
  <c r="Y60" i="34"/>
  <c r="N61" i="34"/>
  <c r="V61" i="34"/>
  <c r="X61" i="34"/>
  <c r="Y61" i="34"/>
  <c r="N62" i="34"/>
  <c r="V62" i="34"/>
  <c r="X62" i="34"/>
  <c r="Y62" i="34"/>
  <c r="N63" i="34"/>
  <c r="R63" i="34"/>
  <c r="S63" i="34"/>
  <c r="T63" i="34"/>
  <c r="V63" i="34"/>
  <c r="X63" i="34"/>
  <c r="Y63" i="34"/>
  <c r="N64" i="34"/>
  <c r="R64" i="34"/>
  <c r="S64" i="34"/>
  <c r="T64" i="34"/>
  <c r="V64" i="34"/>
  <c r="X64" i="34"/>
  <c r="Y64" i="34"/>
  <c r="N65" i="34"/>
  <c r="R65" i="34"/>
  <c r="S65" i="34"/>
  <c r="T65" i="34"/>
  <c r="V65" i="34"/>
  <c r="X65" i="34"/>
  <c r="Y65" i="34"/>
  <c r="N66" i="34"/>
  <c r="V66" i="34"/>
  <c r="X66" i="34"/>
  <c r="Y66" i="34"/>
  <c r="N67" i="34"/>
  <c r="R67" i="34"/>
  <c r="S67" i="34"/>
  <c r="T67" i="34"/>
  <c r="V67" i="34"/>
  <c r="X67" i="34"/>
  <c r="Y67" i="34"/>
  <c r="N68" i="34"/>
  <c r="R68" i="34"/>
  <c r="S68" i="34"/>
  <c r="T68" i="34"/>
  <c r="V68" i="34"/>
  <c r="X68" i="34"/>
  <c r="Y68" i="34"/>
  <c r="N69" i="34"/>
  <c r="R69" i="34"/>
  <c r="S69" i="34"/>
  <c r="T69" i="34"/>
  <c r="V69" i="34"/>
  <c r="X69" i="34"/>
  <c r="Y69" i="34"/>
  <c r="N70" i="34"/>
  <c r="R70" i="34"/>
  <c r="S70" i="34"/>
  <c r="T70" i="34"/>
  <c r="V70" i="34"/>
  <c r="X70" i="34"/>
  <c r="Y70" i="34"/>
  <c r="N71" i="34"/>
  <c r="R71" i="34"/>
  <c r="S71" i="34"/>
  <c r="T71" i="34"/>
  <c r="V71" i="34"/>
  <c r="X71" i="34"/>
  <c r="Y71" i="34"/>
  <c r="N72" i="34"/>
  <c r="R72" i="34"/>
  <c r="S72" i="34"/>
  <c r="T72" i="34"/>
  <c r="V72" i="34"/>
  <c r="X72" i="34"/>
  <c r="Y72" i="34"/>
  <c r="N73" i="34"/>
  <c r="R73" i="34"/>
  <c r="S73" i="34"/>
  <c r="T73" i="34"/>
  <c r="V73" i="34"/>
  <c r="X73" i="34"/>
  <c r="Y73" i="34"/>
  <c r="N74" i="34"/>
  <c r="R74" i="34"/>
  <c r="S74" i="34"/>
  <c r="T74" i="34"/>
  <c r="V74" i="34"/>
  <c r="X74" i="34"/>
  <c r="Y74" i="34"/>
  <c r="N75" i="34"/>
  <c r="R75" i="34"/>
  <c r="S75" i="34"/>
  <c r="T75" i="34"/>
  <c r="V75" i="34"/>
  <c r="X75" i="34"/>
  <c r="Y75" i="34"/>
  <c r="N76" i="34"/>
  <c r="R76" i="34"/>
  <c r="S76" i="34"/>
  <c r="T76" i="34"/>
  <c r="V76" i="34"/>
  <c r="X76" i="34"/>
  <c r="Y76" i="34"/>
  <c r="N77" i="34"/>
  <c r="V77" i="34"/>
  <c r="X77" i="34"/>
  <c r="Y77" i="34"/>
  <c r="N78" i="34"/>
  <c r="V78" i="34"/>
  <c r="X78" i="34"/>
  <c r="Y78" i="34"/>
  <c r="N79" i="34"/>
  <c r="V79" i="34"/>
  <c r="X79" i="34"/>
  <c r="Y79" i="34"/>
  <c r="N80" i="34"/>
  <c r="R80" i="34"/>
  <c r="S80" i="34"/>
  <c r="T80" i="34"/>
  <c r="V80" i="34"/>
  <c r="X80" i="34"/>
  <c r="Y80" i="34"/>
  <c r="N81" i="34"/>
  <c r="R81" i="34"/>
  <c r="S81" i="34"/>
  <c r="T81" i="34"/>
  <c r="V81" i="34"/>
  <c r="X81" i="34"/>
  <c r="Y81" i="34"/>
  <c r="N82" i="34"/>
  <c r="R82" i="34"/>
  <c r="S82" i="34"/>
  <c r="T82" i="34"/>
  <c r="V82" i="34"/>
  <c r="X82" i="34"/>
  <c r="Y82" i="34"/>
  <c r="N83" i="34"/>
  <c r="R83" i="34"/>
  <c r="S83" i="34"/>
  <c r="T83" i="34"/>
  <c r="V83" i="34"/>
  <c r="X83" i="34"/>
  <c r="Y83" i="34"/>
  <c r="N84" i="34"/>
  <c r="R84" i="34"/>
  <c r="S84" i="34"/>
  <c r="T84" i="34"/>
  <c r="V84" i="34"/>
  <c r="X84" i="34"/>
  <c r="Y84" i="34"/>
  <c r="N85" i="34"/>
  <c r="R85" i="34"/>
  <c r="S85" i="34"/>
  <c r="T85" i="34"/>
  <c r="V85" i="34"/>
  <c r="X85" i="34"/>
  <c r="Y85" i="34"/>
  <c r="N86" i="34"/>
  <c r="R86" i="34"/>
  <c r="S86" i="34"/>
  <c r="T86" i="34"/>
  <c r="V86" i="34"/>
  <c r="X86" i="34"/>
  <c r="Y86" i="34"/>
  <c r="N87" i="34"/>
  <c r="R87" i="34"/>
  <c r="S87" i="34"/>
  <c r="T87" i="34"/>
  <c r="V87" i="34"/>
  <c r="X87" i="34"/>
  <c r="Y87" i="34"/>
  <c r="N88" i="34"/>
  <c r="R88" i="34"/>
  <c r="S88" i="34"/>
  <c r="T88" i="34"/>
  <c r="V88" i="34"/>
  <c r="X88" i="34"/>
  <c r="Y88" i="34"/>
  <c r="N89" i="34"/>
  <c r="R89" i="34"/>
  <c r="S89" i="34"/>
  <c r="T89" i="34"/>
  <c r="V89" i="34"/>
  <c r="X89" i="34"/>
  <c r="Y89" i="34"/>
  <c r="N90" i="34"/>
  <c r="R90" i="34"/>
  <c r="S90" i="34"/>
  <c r="T90" i="34"/>
  <c r="V90" i="34"/>
  <c r="X90" i="34"/>
  <c r="Y90" i="34"/>
  <c r="N91" i="34"/>
  <c r="V91" i="34"/>
  <c r="X91" i="34"/>
  <c r="Y91" i="34"/>
  <c r="N92" i="34"/>
  <c r="R92" i="34"/>
  <c r="S92" i="34"/>
  <c r="T92" i="34"/>
  <c r="V92" i="34"/>
  <c r="X92" i="34"/>
  <c r="Y92" i="34"/>
  <c r="N93" i="34"/>
  <c r="R93" i="34"/>
  <c r="S93" i="34"/>
  <c r="T93" i="34"/>
  <c r="V93" i="34"/>
  <c r="X93" i="34"/>
  <c r="Y93" i="34"/>
  <c r="N94" i="34"/>
  <c r="R94" i="34"/>
  <c r="S94" i="34"/>
  <c r="T94" i="34"/>
  <c r="V94" i="34"/>
  <c r="X94" i="34"/>
  <c r="Y94" i="34"/>
  <c r="N95" i="34"/>
  <c r="R95" i="34"/>
  <c r="S95" i="34"/>
  <c r="T95" i="34"/>
  <c r="V95" i="34"/>
  <c r="X95" i="34"/>
  <c r="Y95" i="34"/>
  <c r="N96" i="34"/>
  <c r="R96" i="34"/>
  <c r="S96" i="34"/>
  <c r="T96" i="34"/>
  <c r="V96" i="34"/>
  <c r="X96" i="34"/>
  <c r="Y96" i="34"/>
  <c r="N97" i="34"/>
  <c r="R97" i="34"/>
  <c r="S97" i="34"/>
  <c r="T97" i="34"/>
  <c r="V97" i="34"/>
  <c r="X97" i="34"/>
  <c r="Y97" i="34"/>
  <c r="N98" i="34"/>
  <c r="V98" i="34"/>
  <c r="X98" i="34"/>
  <c r="Y98" i="34"/>
  <c r="N99" i="34"/>
  <c r="R99" i="34"/>
  <c r="S99" i="34"/>
  <c r="T99" i="34"/>
  <c r="V99" i="34"/>
  <c r="X99" i="34"/>
  <c r="Y99" i="34"/>
  <c r="N100" i="34"/>
  <c r="R100" i="34"/>
  <c r="S100" i="34"/>
  <c r="T100" i="34"/>
  <c r="V100" i="34"/>
  <c r="X100" i="34"/>
  <c r="Y100" i="34"/>
  <c r="N101" i="34"/>
  <c r="R101" i="34"/>
  <c r="S101" i="34"/>
  <c r="T101" i="34"/>
  <c r="V101" i="34"/>
  <c r="X101" i="34"/>
  <c r="Y101" i="34"/>
  <c r="N102" i="34"/>
  <c r="R102" i="34"/>
  <c r="S102" i="34"/>
  <c r="T102" i="34"/>
  <c r="V102" i="34"/>
  <c r="X102" i="34"/>
  <c r="Y102" i="34"/>
  <c r="N103" i="34"/>
  <c r="R103" i="34"/>
  <c r="S103" i="34"/>
  <c r="T103" i="34"/>
  <c r="V103" i="34"/>
  <c r="X103" i="34"/>
  <c r="Y103" i="34"/>
  <c r="N104" i="34"/>
  <c r="R104" i="34"/>
  <c r="S104" i="34"/>
  <c r="T104" i="34"/>
  <c r="V104" i="34"/>
  <c r="X104" i="34"/>
  <c r="Y104" i="34"/>
  <c r="N105" i="34"/>
  <c r="R105" i="34"/>
  <c r="S105" i="34"/>
  <c r="T105" i="34"/>
  <c r="V105" i="34"/>
  <c r="X105" i="34"/>
  <c r="Y105" i="34"/>
  <c r="N106" i="34"/>
  <c r="R106" i="34"/>
  <c r="S106" i="34"/>
  <c r="T106" i="34"/>
  <c r="V106" i="34"/>
  <c r="X106" i="34"/>
  <c r="Y106" i="34"/>
  <c r="N107" i="34"/>
  <c r="R107" i="34"/>
  <c r="S107" i="34"/>
  <c r="T107" i="34"/>
  <c r="V107" i="34"/>
  <c r="X107" i="34"/>
  <c r="Y107" i="34"/>
  <c r="N108" i="34"/>
  <c r="R108" i="34"/>
  <c r="S108" i="34"/>
  <c r="T108" i="34"/>
  <c r="V108" i="34"/>
  <c r="X108" i="34"/>
  <c r="Y108" i="34"/>
  <c r="N109" i="34"/>
  <c r="R109" i="34"/>
  <c r="S109" i="34"/>
  <c r="T109" i="34"/>
  <c r="V109" i="34"/>
  <c r="X109" i="34"/>
  <c r="Y109" i="34"/>
  <c r="N110" i="34"/>
  <c r="R110" i="34"/>
  <c r="S110" i="34"/>
  <c r="T110" i="34"/>
  <c r="V110" i="34"/>
  <c r="X110" i="34"/>
  <c r="Y110" i="34"/>
  <c r="N111" i="34"/>
  <c r="R111" i="34"/>
  <c r="S111" i="34"/>
  <c r="T111" i="34"/>
  <c r="V111" i="34"/>
  <c r="X111" i="34"/>
  <c r="Y111" i="34"/>
  <c r="N112" i="34"/>
  <c r="R112" i="34"/>
  <c r="S112" i="34"/>
  <c r="T112" i="34"/>
  <c r="V112" i="34"/>
  <c r="X112" i="34"/>
  <c r="Y112" i="34"/>
  <c r="N113" i="34"/>
  <c r="R113" i="34"/>
  <c r="S113" i="34"/>
  <c r="T113" i="34"/>
  <c r="V113" i="34"/>
  <c r="X113" i="34"/>
  <c r="Y113" i="34"/>
  <c r="N114" i="34"/>
  <c r="R114" i="34"/>
  <c r="S114" i="34"/>
  <c r="T114" i="34"/>
  <c r="V114" i="34"/>
  <c r="X114" i="34"/>
  <c r="Y114" i="34"/>
  <c r="N115" i="34"/>
  <c r="R115" i="34"/>
  <c r="S115" i="34"/>
  <c r="T115" i="34"/>
  <c r="V115" i="34"/>
  <c r="X115" i="34"/>
  <c r="Y115" i="34"/>
  <c r="N116" i="34"/>
  <c r="R116" i="34"/>
  <c r="S116" i="34"/>
  <c r="T116" i="34"/>
  <c r="V116" i="34"/>
  <c r="X116" i="34"/>
  <c r="Y116" i="34"/>
  <c r="N117" i="34"/>
  <c r="V117" i="34"/>
  <c r="X117" i="34"/>
  <c r="Y117" i="34"/>
  <c r="N118" i="34"/>
  <c r="R118" i="34"/>
  <c r="S118" i="34"/>
  <c r="T118" i="34"/>
  <c r="V118" i="34"/>
  <c r="X118" i="34"/>
  <c r="Y118" i="34"/>
  <c r="N119" i="34"/>
  <c r="R119" i="34"/>
  <c r="S119" i="34"/>
  <c r="T119" i="34"/>
  <c r="V119" i="34"/>
  <c r="X119" i="34"/>
  <c r="Y119" i="34"/>
  <c r="N120" i="34"/>
  <c r="R120" i="34"/>
  <c r="S120" i="34"/>
  <c r="T120" i="34"/>
  <c r="V120" i="34"/>
  <c r="X120" i="34"/>
  <c r="Y120" i="34"/>
  <c r="N121" i="34"/>
  <c r="R121" i="34"/>
  <c r="S121" i="34"/>
  <c r="T121" i="34"/>
  <c r="V121" i="34"/>
  <c r="X121" i="34"/>
  <c r="Y121" i="34"/>
  <c r="N122" i="34"/>
  <c r="R122" i="34"/>
  <c r="S122" i="34"/>
  <c r="T122" i="34"/>
  <c r="V122" i="34"/>
  <c r="X122" i="34"/>
  <c r="Y122" i="34"/>
  <c r="N123" i="34"/>
  <c r="R123" i="34"/>
  <c r="S123" i="34"/>
  <c r="T123" i="34"/>
  <c r="V123" i="34"/>
  <c r="X123" i="34"/>
  <c r="Y123" i="34"/>
  <c r="N124" i="34"/>
  <c r="V124" i="34"/>
  <c r="X124" i="34"/>
  <c r="Y124" i="34"/>
  <c r="N125" i="34"/>
  <c r="V125" i="34"/>
  <c r="X125" i="34"/>
  <c r="Y125" i="34"/>
  <c r="N126" i="34"/>
  <c r="V126" i="34"/>
  <c r="X126" i="34"/>
  <c r="Y126" i="34"/>
  <c r="N127" i="34"/>
  <c r="R127" i="34"/>
  <c r="S127" i="34"/>
  <c r="T127" i="34"/>
  <c r="V127" i="34"/>
  <c r="X127" i="34"/>
  <c r="Y127" i="34"/>
  <c r="N128" i="34"/>
  <c r="R128" i="34"/>
  <c r="S128" i="34"/>
  <c r="T128" i="34"/>
  <c r="V128" i="34"/>
  <c r="X128" i="34"/>
  <c r="Y128" i="34"/>
  <c r="N129" i="34"/>
  <c r="R129" i="34"/>
  <c r="S129" i="34"/>
  <c r="T129" i="34"/>
  <c r="V129" i="34"/>
  <c r="X129" i="34"/>
  <c r="Y129" i="34"/>
  <c r="N130" i="34"/>
  <c r="R130" i="34"/>
  <c r="S130" i="34"/>
  <c r="T130" i="34"/>
  <c r="V130" i="34"/>
  <c r="X130" i="34"/>
  <c r="Y130" i="34"/>
  <c r="N131" i="34"/>
  <c r="R131" i="34"/>
  <c r="S131" i="34"/>
  <c r="T131" i="34"/>
  <c r="V131" i="34"/>
  <c r="X131" i="34"/>
  <c r="Y131" i="34"/>
  <c r="N132" i="34"/>
  <c r="R132" i="34"/>
  <c r="S132" i="34"/>
  <c r="T132" i="34"/>
  <c r="V132" i="34"/>
  <c r="X132" i="34"/>
  <c r="Y132" i="34"/>
  <c r="N133" i="34"/>
  <c r="R133" i="34"/>
  <c r="S133" i="34"/>
  <c r="T133" i="34"/>
  <c r="V133" i="34"/>
  <c r="X133" i="34"/>
  <c r="Y133" i="34"/>
  <c r="N134" i="34"/>
  <c r="V134" i="34"/>
  <c r="X134" i="34"/>
  <c r="Y134" i="34"/>
  <c r="N135" i="34"/>
  <c r="R135" i="34"/>
  <c r="S135" i="34"/>
  <c r="T135" i="34"/>
  <c r="V135" i="34"/>
  <c r="X135" i="34"/>
  <c r="Y135" i="34"/>
  <c r="N136" i="34"/>
  <c r="R136" i="34"/>
  <c r="S136" i="34"/>
  <c r="T136" i="34"/>
  <c r="V136" i="34"/>
  <c r="X136" i="34"/>
  <c r="Y136" i="34"/>
  <c r="N137" i="34"/>
  <c r="R137" i="34"/>
  <c r="S137" i="34"/>
  <c r="T137" i="34"/>
  <c r="V137" i="34"/>
  <c r="X137" i="34"/>
  <c r="Y137" i="34"/>
  <c r="N138" i="34"/>
  <c r="R138" i="34"/>
  <c r="S138" i="34"/>
  <c r="T138" i="34"/>
  <c r="V138" i="34"/>
  <c r="X138" i="34"/>
  <c r="Y138" i="34"/>
  <c r="N139" i="34"/>
  <c r="R139" i="34"/>
  <c r="S139" i="34"/>
  <c r="T139" i="34"/>
  <c r="V139" i="34"/>
  <c r="X139" i="34"/>
  <c r="Y139" i="34"/>
  <c r="N140" i="34"/>
  <c r="R140" i="34"/>
  <c r="S140" i="34"/>
  <c r="T140" i="34"/>
  <c r="V140" i="34"/>
  <c r="X140" i="34"/>
  <c r="Y140" i="34"/>
  <c r="N141" i="34"/>
  <c r="R141" i="34"/>
  <c r="S141" i="34"/>
  <c r="T141" i="34"/>
  <c r="V141" i="34"/>
  <c r="X141" i="34"/>
  <c r="Y141" i="34"/>
  <c r="N142" i="34"/>
  <c r="R142" i="34"/>
  <c r="S142" i="34"/>
  <c r="T142" i="34"/>
  <c r="V142" i="34"/>
  <c r="X142" i="34"/>
  <c r="Y142" i="34"/>
  <c r="N143" i="34"/>
  <c r="R143" i="34"/>
  <c r="S143" i="34"/>
  <c r="T143" i="34"/>
  <c r="V143" i="34"/>
  <c r="X143" i="34"/>
  <c r="Y143" i="34"/>
  <c r="N144" i="34"/>
  <c r="V144" i="34"/>
  <c r="X144" i="34"/>
  <c r="Y144" i="34"/>
  <c r="N145" i="34"/>
  <c r="R145" i="34"/>
  <c r="S145" i="34"/>
  <c r="T145" i="34"/>
  <c r="V145" i="34"/>
  <c r="X145" i="34"/>
  <c r="Y145" i="34"/>
  <c r="N146" i="34"/>
  <c r="R146" i="34"/>
  <c r="S146" i="34"/>
  <c r="T146" i="34"/>
  <c r="V146" i="34"/>
  <c r="X146" i="34"/>
  <c r="Y146" i="34"/>
  <c r="N147" i="34"/>
  <c r="V147" i="34"/>
  <c r="X147" i="34"/>
  <c r="Y147" i="34"/>
  <c r="N148" i="34"/>
  <c r="R148" i="34"/>
  <c r="S148" i="34"/>
  <c r="T148" i="34"/>
  <c r="V148" i="34"/>
  <c r="X148" i="34"/>
  <c r="Y148" i="34"/>
  <c r="N149" i="34"/>
  <c r="R149" i="34"/>
  <c r="S149" i="34"/>
  <c r="T149" i="34"/>
  <c r="V149" i="34"/>
  <c r="X149" i="34"/>
  <c r="Y149" i="34"/>
  <c r="N150" i="34"/>
  <c r="R150" i="34"/>
  <c r="S150" i="34"/>
  <c r="T150" i="34"/>
  <c r="V150" i="34"/>
  <c r="X150" i="34"/>
  <c r="Y150" i="34"/>
  <c r="N151" i="34"/>
  <c r="R151" i="34"/>
  <c r="S151" i="34"/>
  <c r="T151" i="34"/>
  <c r="V151" i="34"/>
  <c r="X151" i="34"/>
  <c r="Y151" i="34"/>
  <c r="N152" i="34"/>
  <c r="R152" i="34"/>
  <c r="S152" i="34"/>
  <c r="T152" i="34"/>
  <c r="V152" i="34"/>
  <c r="X152" i="34"/>
  <c r="Y152" i="34"/>
  <c r="N153" i="34"/>
  <c r="R153" i="34"/>
  <c r="S153" i="34"/>
  <c r="T153" i="34"/>
  <c r="V153" i="34"/>
  <c r="X153" i="34"/>
  <c r="Y153" i="34"/>
  <c r="N154" i="34"/>
  <c r="R154" i="34"/>
  <c r="S154" i="34"/>
  <c r="T154" i="34"/>
  <c r="V154" i="34"/>
  <c r="X154" i="34"/>
  <c r="Y154" i="34"/>
  <c r="N155" i="34"/>
  <c r="V155" i="34"/>
  <c r="X155" i="34"/>
  <c r="Y155" i="34"/>
  <c r="N156" i="34"/>
  <c r="V156" i="34"/>
  <c r="X156" i="34"/>
  <c r="Y156" i="34"/>
  <c r="N157" i="34"/>
  <c r="R157" i="34"/>
  <c r="S157" i="34"/>
  <c r="T157" i="34"/>
  <c r="V157" i="34"/>
  <c r="X157" i="34"/>
  <c r="Y157" i="34"/>
  <c r="N158" i="34"/>
  <c r="R158" i="34"/>
  <c r="S158" i="34"/>
  <c r="T158" i="34"/>
  <c r="V158" i="34"/>
  <c r="X158" i="34"/>
  <c r="Y158" i="34"/>
  <c r="N159" i="34"/>
  <c r="R159" i="34"/>
  <c r="S159" i="34"/>
  <c r="T159" i="34"/>
  <c r="V159" i="34"/>
  <c r="X159" i="34"/>
  <c r="Y159" i="34"/>
  <c r="N160" i="34"/>
  <c r="R160" i="34"/>
  <c r="S160" i="34"/>
  <c r="T160" i="34"/>
  <c r="V160" i="34"/>
  <c r="X160" i="34"/>
  <c r="Y160" i="34"/>
  <c r="N161" i="34"/>
  <c r="R161" i="34"/>
  <c r="S161" i="34"/>
  <c r="T161" i="34"/>
  <c r="V161" i="34"/>
  <c r="X161" i="34"/>
  <c r="Y161" i="34"/>
  <c r="N162" i="34"/>
  <c r="R162" i="34"/>
  <c r="S162" i="34"/>
  <c r="T162" i="34"/>
  <c r="V162" i="34"/>
  <c r="X162" i="34"/>
  <c r="Y162" i="34"/>
  <c r="N163" i="34"/>
  <c r="R163" i="34"/>
  <c r="S163" i="34"/>
  <c r="T163" i="34"/>
  <c r="V163" i="34"/>
  <c r="X163" i="34"/>
  <c r="Y163" i="34"/>
  <c r="N164" i="34"/>
  <c r="R164" i="34"/>
  <c r="S164" i="34"/>
  <c r="T164" i="34"/>
  <c r="V164" i="34"/>
  <c r="X164" i="34"/>
  <c r="Y164" i="34"/>
  <c r="N165" i="34"/>
  <c r="R165" i="34"/>
  <c r="S165" i="34"/>
  <c r="T165" i="34"/>
  <c r="V165" i="34"/>
  <c r="X165" i="34"/>
  <c r="Y165" i="34"/>
  <c r="N166" i="34"/>
  <c r="R166" i="34"/>
  <c r="S166" i="34"/>
  <c r="T166" i="34"/>
  <c r="V166" i="34"/>
  <c r="X166" i="34"/>
  <c r="Y166" i="34"/>
  <c r="N167" i="34"/>
  <c r="R167" i="34"/>
  <c r="S167" i="34"/>
  <c r="T167" i="34"/>
  <c r="V167" i="34"/>
  <c r="X167" i="34"/>
  <c r="Y167" i="34"/>
  <c r="N168" i="34"/>
  <c r="R168" i="34"/>
  <c r="S168" i="34"/>
  <c r="T168" i="34"/>
  <c r="V168" i="34"/>
  <c r="X168" i="34"/>
  <c r="Y168" i="34"/>
  <c r="N169" i="34"/>
  <c r="R169" i="34"/>
  <c r="S169" i="34"/>
  <c r="T169" i="34"/>
  <c r="V169" i="34"/>
  <c r="X169" i="34"/>
  <c r="Y169" i="34"/>
  <c r="N170" i="34"/>
  <c r="R170" i="34"/>
  <c r="S170" i="34"/>
  <c r="T170" i="34"/>
  <c r="V170" i="34"/>
  <c r="X170" i="34"/>
  <c r="Y170" i="34"/>
  <c r="N171" i="34"/>
  <c r="R171" i="34"/>
  <c r="S171" i="34"/>
  <c r="T171" i="34"/>
  <c r="V171" i="34"/>
  <c r="X171" i="34"/>
  <c r="Y171" i="34"/>
  <c r="N172" i="34"/>
  <c r="R172" i="34"/>
  <c r="S172" i="34"/>
  <c r="T172" i="34"/>
  <c r="V172" i="34"/>
  <c r="X172" i="34"/>
  <c r="Y172" i="34"/>
  <c r="N173" i="34"/>
  <c r="R173" i="34"/>
  <c r="S173" i="34"/>
  <c r="T173" i="34"/>
  <c r="V173" i="34"/>
  <c r="X173" i="34"/>
  <c r="Y173" i="34"/>
  <c r="N174" i="34"/>
  <c r="R174" i="34"/>
  <c r="S174" i="34"/>
  <c r="T174" i="34"/>
  <c r="V174" i="34"/>
  <c r="X174" i="34"/>
  <c r="Y174" i="34"/>
  <c r="N175" i="34"/>
  <c r="R175" i="34"/>
  <c r="S175" i="34"/>
  <c r="T175" i="34"/>
  <c r="V175" i="34"/>
  <c r="X175" i="34"/>
  <c r="Y175" i="34"/>
  <c r="N176" i="34"/>
  <c r="R176" i="34"/>
  <c r="S176" i="34"/>
  <c r="T176" i="34"/>
  <c r="V176" i="34"/>
  <c r="X176" i="34"/>
  <c r="Y176" i="34"/>
  <c r="N177" i="34"/>
  <c r="R177" i="34"/>
  <c r="S177" i="34"/>
  <c r="T177" i="34"/>
  <c r="V177" i="34"/>
  <c r="X177" i="34"/>
  <c r="Y177" i="34"/>
  <c r="N178" i="34"/>
  <c r="R178" i="34"/>
  <c r="S178" i="34"/>
  <c r="T178" i="34"/>
  <c r="V178" i="34"/>
  <c r="X178" i="34"/>
  <c r="Y178" i="34"/>
  <c r="N179" i="34"/>
  <c r="R179" i="34"/>
  <c r="S179" i="34"/>
  <c r="T179" i="34"/>
  <c r="V179" i="34"/>
  <c r="X179" i="34"/>
  <c r="Y179" i="34"/>
  <c r="N180" i="34"/>
  <c r="R180" i="34"/>
  <c r="S180" i="34"/>
  <c r="T180" i="34"/>
  <c r="V180" i="34"/>
  <c r="X180" i="34"/>
  <c r="Y180" i="34"/>
  <c r="N181" i="34"/>
  <c r="R181" i="34"/>
  <c r="S181" i="34"/>
  <c r="T181" i="34"/>
  <c r="V181" i="34"/>
  <c r="X181" i="34"/>
  <c r="Y181" i="34"/>
  <c r="N182" i="34"/>
  <c r="R182" i="34"/>
  <c r="S182" i="34"/>
  <c r="T182" i="34"/>
  <c r="V182" i="34"/>
  <c r="X182" i="34"/>
  <c r="Y182" i="34"/>
  <c r="N183" i="34"/>
  <c r="R183" i="34"/>
  <c r="S183" i="34"/>
  <c r="T183" i="34"/>
  <c r="V183" i="34"/>
  <c r="X183" i="34"/>
  <c r="Y183" i="34"/>
  <c r="N184" i="34"/>
  <c r="R184" i="34"/>
  <c r="S184" i="34"/>
  <c r="T184" i="34"/>
  <c r="V184" i="34"/>
  <c r="X184" i="34"/>
  <c r="Y184" i="34"/>
  <c r="N185" i="34"/>
  <c r="R185" i="34"/>
  <c r="S185" i="34"/>
  <c r="T185" i="34"/>
  <c r="V185" i="34"/>
  <c r="X185" i="34"/>
  <c r="Y185" i="34"/>
  <c r="N186" i="34"/>
  <c r="R186" i="34"/>
  <c r="S186" i="34"/>
  <c r="T186" i="34"/>
  <c r="V186" i="34"/>
  <c r="X186" i="34"/>
  <c r="Y186" i="34"/>
  <c r="N187" i="34"/>
  <c r="R187" i="34"/>
  <c r="S187" i="34"/>
  <c r="T187" i="34"/>
  <c r="V187" i="34"/>
  <c r="X187" i="34"/>
  <c r="Y187" i="34"/>
  <c r="N188" i="34"/>
  <c r="R188" i="34"/>
  <c r="S188" i="34"/>
  <c r="T188" i="34"/>
  <c r="V188" i="34"/>
  <c r="X188" i="34"/>
  <c r="Y188" i="34"/>
  <c r="N189" i="34"/>
  <c r="R189" i="34"/>
  <c r="S189" i="34"/>
  <c r="T189" i="34"/>
  <c r="V189" i="34"/>
  <c r="X189" i="34"/>
  <c r="Y189" i="34"/>
  <c r="N190" i="34"/>
  <c r="R190" i="34"/>
  <c r="S190" i="34"/>
  <c r="T190" i="34"/>
  <c r="V190" i="34"/>
  <c r="X190" i="34"/>
  <c r="Y190" i="34"/>
  <c r="N191" i="34"/>
  <c r="R191" i="34"/>
  <c r="S191" i="34"/>
  <c r="T191" i="34"/>
  <c r="V191" i="34"/>
  <c r="X191" i="34"/>
  <c r="Y191" i="34"/>
  <c r="N192" i="34"/>
  <c r="R192" i="34"/>
  <c r="S192" i="34"/>
  <c r="T192" i="34"/>
  <c r="V192" i="34"/>
  <c r="X192" i="34"/>
  <c r="Y192" i="34"/>
  <c r="N193" i="34"/>
  <c r="R193" i="34"/>
  <c r="S193" i="34"/>
  <c r="T193" i="34"/>
  <c r="V193" i="34"/>
  <c r="X193" i="34"/>
  <c r="Y193" i="34"/>
  <c r="N194" i="34"/>
  <c r="R194" i="34"/>
  <c r="S194" i="34"/>
  <c r="T194" i="34"/>
  <c r="V194" i="34"/>
  <c r="X194" i="34"/>
  <c r="Y194" i="34"/>
  <c r="N195" i="34"/>
  <c r="R195" i="34"/>
  <c r="S195" i="34"/>
  <c r="T195" i="34"/>
  <c r="V195" i="34"/>
  <c r="X195" i="34"/>
  <c r="Y195" i="34"/>
  <c r="N196" i="34"/>
  <c r="R196" i="34"/>
  <c r="S196" i="34"/>
  <c r="T196" i="34"/>
  <c r="V196" i="34"/>
  <c r="X196" i="34"/>
  <c r="Y196" i="34"/>
  <c r="N197" i="34"/>
  <c r="R197" i="34"/>
  <c r="S197" i="34"/>
  <c r="T197" i="34"/>
  <c r="V197" i="34"/>
  <c r="X197" i="34"/>
  <c r="Y197" i="34"/>
  <c r="N198" i="34"/>
  <c r="R198" i="34"/>
  <c r="S198" i="34"/>
  <c r="T198" i="34"/>
  <c r="V198" i="34"/>
  <c r="X198" i="34"/>
  <c r="Y198" i="34"/>
  <c r="N199" i="34"/>
  <c r="R199" i="34"/>
  <c r="S199" i="34"/>
  <c r="T199" i="34"/>
  <c r="V199" i="34"/>
  <c r="X199" i="34"/>
  <c r="Y199" i="34"/>
  <c r="N200" i="34"/>
  <c r="R200" i="34"/>
  <c r="S200" i="34"/>
  <c r="T200" i="34"/>
  <c r="V200" i="34"/>
  <c r="X200" i="34"/>
  <c r="Y200" i="34"/>
  <c r="N201" i="34"/>
  <c r="R201" i="34"/>
  <c r="S201" i="34"/>
  <c r="T201" i="34"/>
  <c r="V201" i="34"/>
  <c r="X201" i="34"/>
  <c r="Y201" i="34"/>
  <c r="N202" i="34"/>
  <c r="R202" i="34"/>
  <c r="S202" i="34"/>
  <c r="T202" i="34"/>
  <c r="V202" i="34"/>
  <c r="X202" i="34"/>
  <c r="Y202" i="34"/>
  <c r="N203" i="34"/>
  <c r="R203" i="34"/>
  <c r="S203" i="34"/>
  <c r="T203" i="34"/>
  <c r="V203" i="34"/>
  <c r="X203" i="34"/>
  <c r="Y203" i="34"/>
  <c r="N204" i="34"/>
  <c r="R204" i="34"/>
  <c r="S204" i="34"/>
  <c r="T204" i="34"/>
  <c r="V204" i="34"/>
  <c r="X204" i="34"/>
  <c r="Y204" i="34"/>
  <c r="N205" i="34"/>
  <c r="R205" i="34"/>
  <c r="S205" i="34"/>
  <c r="T205" i="34"/>
  <c r="V205" i="34"/>
  <c r="X205" i="34"/>
  <c r="Y205" i="34"/>
  <c r="N206" i="34"/>
  <c r="R206" i="34"/>
  <c r="S206" i="34"/>
  <c r="T206" i="34"/>
  <c r="V206" i="34"/>
  <c r="X206" i="34"/>
  <c r="Y206" i="34"/>
  <c r="N207" i="34"/>
  <c r="R207" i="34"/>
  <c r="S207" i="34"/>
  <c r="T207" i="34"/>
  <c r="V207" i="34"/>
  <c r="X207" i="34"/>
  <c r="Y207" i="34"/>
  <c r="N208" i="34"/>
  <c r="R208" i="34"/>
  <c r="S208" i="34"/>
  <c r="T208" i="34"/>
  <c r="V208" i="34"/>
  <c r="X208" i="34"/>
  <c r="Y208" i="34"/>
  <c r="N209" i="34"/>
  <c r="R209" i="34"/>
  <c r="S209" i="34"/>
  <c r="T209" i="34"/>
  <c r="V209" i="34"/>
  <c r="X209" i="34"/>
  <c r="Y209" i="34"/>
  <c r="N210" i="34"/>
  <c r="R210" i="34"/>
  <c r="S210" i="34"/>
  <c r="T210" i="34"/>
  <c r="V210" i="34"/>
  <c r="X210" i="34"/>
  <c r="Y210" i="34"/>
  <c r="N211" i="34"/>
  <c r="R211" i="34"/>
  <c r="S211" i="34"/>
  <c r="T211" i="34"/>
  <c r="V211" i="34"/>
  <c r="X211" i="34"/>
  <c r="Y211" i="34"/>
  <c r="N212" i="34"/>
  <c r="R212" i="34"/>
  <c r="S212" i="34"/>
  <c r="T212" i="34"/>
  <c r="V212" i="34"/>
  <c r="X212" i="34"/>
  <c r="Y212" i="34"/>
  <c r="N213" i="34"/>
  <c r="R213" i="34"/>
  <c r="S213" i="34"/>
  <c r="T213" i="34"/>
  <c r="V213" i="34"/>
  <c r="X213" i="34"/>
  <c r="Y213" i="34"/>
  <c r="N214" i="34"/>
  <c r="R214" i="34"/>
  <c r="S214" i="34"/>
  <c r="T214" i="34"/>
  <c r="V214" i="34"/>
  <c r="X214" i="34"/>
  <c r="Y214" i="34"/>
  <c r="N215" i="34"/>
  <c r="R215" i="34"/>
  <c r="S215" i="34"/>
  <c r="T215" i="34"/>
  <c r="V215" i="34"/>
  <c r="X215" i="34"/>
  <c r="Y215" i="34"/>
  <c r="N216" i="34"/>
  <c r="R216" i="34"/>
  <c r="S216" i="34"/>
  <c r="T216" i="34"/>
  <c r="V216" i="34"/>
  <c r="X216" i="34"/>
  <c r="Y216" i="34"/>
  <c r="N217" i="34"/>
  <c r="R217" i="34"/>
  <c r="S217" i="34"/>
  <c r="T217" i="34"/>
  <c r="V217" i="34"/>
  <c r="X217" i="34"/>
  <c r="Y217" i="34"/>
  <c r="N218" i="34"/>
  <c r="R218" i="34"/>
  <c r="S218" i="34"/>
  <c r="T218" i="34"/>
  <c r="V218" i="34"/>
  <c r="X218" i="34"/>
  <c r="Y218" i="34"/>
  <c r="N219" i="34"/>
  <c r="R219" i="34"/>
  <c r="S219" i="34"/>
  <c r="T219" i="34"/>
  <c r="V219" i="34"/>
  <c r="X219" i="34"/>
  <c r="Y219" i="34"/>
  <c r="N220" i="34"/>
  <c r="R220" i="34"/>
  <c r="S220" i="34"/>
  <c r="T220" i="34"/>
  <c r="V220" i="34"/>
  <c r="X220" i="34"/>
  <c r="Y220" i="34"/>
  <c r="N221" i="34"/>
  <c r="R221" i="34"/>
  <c r="S221" i="34"/>
  <c r="T221" i="34"/>
  <c r="V221" i="34"/>
  <c r="X221" i="34"/>
  <c r="Y221" i="34"/>
  <c r="N222" i="34"/>
  <c r="R222" i="34"/>
  <c r="S222" i="34"/>
  <c r="T222" i="34"/>
  <c r="V222" i="34"/>
  <c r="X222" i="34"/>
  <c r="Y222" i="34"/>
  <c r="N223" i="34"/>
  <c r="R223" i="34"/>
  <c r="S223" i="34"/>
  <c r="T223" i="34"/>
  <c r="V223" i="34"/>
  <c r="X223" i="34"/>
  <c r="Y223" i="34"/>
  <c r="N224" i="34"/>
  <c r="R224" i="34"/>
  <c r="S224" i="34"/>
  <c r="T224" i="34"/>
  <c r="V224" i="34"/>
  <c r="X224" i="34"/>
  <c r="Y224" i="34"/>
  <c r="N225" i="34"/>
  <c r="R225" i="34"/>
  <c r="S225" i="34"/>
  <c r="T225" i="34"/>
  <c r="V225" i="34"/>
  <c r="X225" i="34"/>
  <c r="Y225" i="34"/>
  <c r="N226" i="34"/>
  <c r="R226" i="34"/>
  <c r="S226" i="34"/>
  <c r="T226" i="34"/>
  <c r="V226" i="34"/>
  <c r="X226" i="34"/>
  <c r="Y226" i="34"/>
  <c r="N227" i="34"/>
  <c r="R227" i="34"/>
  <c r="S227" i="34"/>
  <c r="T227" i="34"/>
  <c r="V227" i="34"/>
  <c r="X227" i="34"/>
  <c r="Y227" i="34"/>
  <c r="N228" i="34"/>
  <c r="R228" i="34"/>
  <c r="S228" i="34"/>
  <c r="T228" i="34"/>
  <c r="V228" i="34"/>
  <c r="X228" i="34"/>
  <c r="Y228" i="34"/>
  <c r="N229" i="34"/>
  <c r="R229" i="34"/>
  <c r="S229" i="34"/>
  <c r="T229" i="34"/>
  <c r="V229" i="34"/>
  <c r="X229" i="34"/>
  <c r="Y229" i="34"/>
  <c r="N230" i="34"/>
  <c r="R230" i="34"/>
  <c r="S230" i="34"/>
  <c r="T230" i="34"/>
  <c r="V230" i="34"/>
  <c r="X230" i="34"/>
  <c r="Y230" i="34"/>
  <c r="N231" i="34"/>
  <c r="R231" i="34"/>
  <c r="S231" i="34"/>
  <c r="T231" i="34"/>
  <c r="V231" i="34"/>
  <c r="X231" i="34"/>
  <c r="Y231" i="34"/>
  <c r="N232" i="34"/>
  <c r="R232" i="34"/>
  <c r="S232" i="34"/>
  <c r="T232" i="34"/>
  <c r="V232" i="34"/>
  <c r="X232" i="34"/>
  <c r="Y232" i="34"/>
  <c r="N233" i="34"/>
  <c r="R233" i="34"/>
  <c r="S233" i="34"/>
  <c r="T233" i="34"/>
  <c r="V233" i="34"/>
  <c r="X233" i="34"/>
  <c r="Y233" i="34"/>
  <c r="N234" i="34"/>
  <c r="R234" i="34"/>
  <c r="S234" i="34"/>
  <c r="T234" i="34"/>
  <c r="V234" i="34"/>
  <c r="X234" i="34"/>
  <c r="Y234" i="34"/>
  <c r="N235" i="34"/>
  <c r="R235" i="34"/>
  <c r="S235" i="34"/>
  <c r="T235" i="34"/>
  <c r="V235" i="34"/>
  <c r="X235" i="34"/>
  <c r="Y235" i="34"/>
  <c r="N236" i="34"/>
  <c r="R236" i="34"/>
  <c r="S236" i="34"/>
  <c r="T236" i="34"/>
  <c r="V236" i="34"/>
  <c r="X236" i="34"/>
  <c r="Y236" i="34"/>
  <c r="N237" i="34"/>
  <c r="R237" i="34"/>
  <c r="S237" i="34"/>
  <c r="T237" i="34"/>
  <c r="V237" i="34"/>
  <c r="X237" i="34"/>
  <c r="Y237" i="34"/>
  <c r="N238" i="34"/>
  <c r="R238" i="34"/>
  <c r="S238" i="34"/>
  <c r="T238" i="34"/>
  <c r="V238" i="34"/>
  <c r="X238" i="34"/>
  <c r="Y238" i="34"/>
  <c r="N239" i="34"/>
  <c r="R239" i="34"/>
  <c r="S239" i="34"/>
  <c r="T239" i="34"/>
  <c r="V239" i="34"/>
  <c r="X239" i="34"/>
  <c r="Y239" i="34"/>
  <c r="N240" i="34"/>
  <c r="R240" i="34"/>
  <c r="S240" i="34"/>
  <c r="T240" i="34"/>
  <c r="V240" i="34"/>
  <c r="X240" i="34"/>
  <c r="Y240" i="34"/>
  <c r="N241" i="34"/>
  <c r="R241" i="34"/>
  <c r="S241" i="34"/>
  <c r="T241" i="34"/>
  <c r="V241" i="34"/>
  <c r="X241" i="34"/>
  <c r="Y241" i="34"/>
  <c r="N242" i="34"/>
  <c r="R242" i="34"/>
  <c r="S242" i="34"/>
  <c r="T242" i="34"/>
  <c r="V242" i="34"/>
  <c r="X242" i="34"/>
  <c r="Y242" i="34"/>
  <c r="N243" i="34"/>
  <c r="R243" i="34"/>
  <c r="S243" i="34"/>
  <c r="T243" i="34"/>
  <c r="V243" i="34"/>
  <c r="X243" i="34"/>
  <c r="Y243" i="34"/>
  <c r="N244" i="34"/>
  <c r="R244" i="34"/>
  <c r="S244" i="34"/>
  <c r="T244" i="34"/>
  <c r="V244" i="34"/>
  <c r="X244" i="34"/>
  <c r="Y244" i="34"/>
  <c r="N245" i="34"/>
  <c r="R245" i="34"/>
  <c r="S245" i="34"/>
  <c r="T245" i="34"/>
  <c r="V245" i="34"/>
  <c r="X245" i="34"/>
  <c r="Y245" i="34"/>
  <c r="N246" i="34"/>
  <c r="R246" i="34"/>
  <c r="S246" i="34"/>
  <c r="T246" i="34"/>
  <c r="V246" i="34"/>
  <c r="X246" i="34"/>
  <c r="Y246" i="34"/>
  <c r="N247" i="34"/>
  <c r="R247" i="34"/>
  <c r="S247" i="34"/>
  <c r="T247" i="34"/>
  <c r="V247" i="34"/>
  <c r="X247" i="34"/>
  <c r="Y247" i="34"/>
  <c r="N248" i="34"/>
  <c r="R248" i="34"/>
  <c r="S248" i="34"/>
  <c r="T248" i="34"/>
  <c r="V248" i="34"/>
  <c r="X248" i="34"/>
  <c r="Y248" i="34"/>
  <c r="N249" i="34"/>
  <c r="R249" i="34"/>
  <c r="S249" i="34"/>
  <c r="T249" i="34"/>
  <c r="V249" i="34"/>
  <c r="X249" i="34"/>
  <c r="Y249" i="34"/>
  <c r="N250" i="34"/>
  <c r="R250" i="34"/>
  <c r="S250" i="34"/>
  <c r="T250" i="34"/>
  <c r="V250" i="34"/>
  <c r="X250" i="34"/>
  <c r="Y250" i="34"/>
  <c r="N251" i="34"/>
  <c r="R251" i="34"/>
  <c r="S251" i="34"/>
  <c r="T251" i="34"/>
  <c r="V251" i="34"/>
  <c r="X251" i="34"/>
  <c r="Y251" i="34"/>
  <c r="N252" i="34"/>
  <c r="R252" i="34"/>
  <c r="S252" i="34"/>
  <c r="T252" i="34"/>
  <c r="V252" i="34"/>
  <c r="X252" i="34"/>
  <c r="Y252" i="34"/>
  <c r="N253" i="34"/>
  <c r="R253" i="34"/>
  <c r="S253" i="34"/>
  <c r="T253" i="34"/>
  <c r="V253" i="34"/>
  <c r="X253" i="34"/>
  <c r="Y253" i="34"/>
  <c r="N254" i="34"/>
  <c r="R254" i="34"/>
  <c r="S254" i="34"/>
  <c r="T254" i="34"/>
  <c r="V254" i="34"/>
  <c r="X254" i="34"/>
  <c r="Y254" i="34"/>
  <c r="N255" i="34"/>
  <c r="R255" i="34"/>
  <c r="S255" i="34"/>
  <c r="T255" i="34"/>
  <c r="V255" i="34"/>
  <c r="X255" i="34"/>
  <c r="Y255" i="34"/>
  <c r="N256" i="34"/>
  <c r="R256" i="34"/>
  <c r="S256" i="34"/>
  <c r="T256" i="34"/>
  <c r="V256" i="34"/>
  <c r="X256" i="34"/>
  <c r="Y256" i="34"/>
  <c r="N257" i="34"/>
  <c r="R257" i="34"/>
  <c r="S257" i="34"/>
  <c r="T257" i="34"/>
  <c r="V257" i="34"/>
  <c r="X257" i="34"/>
  <c r="Y257" i="34"/>
  <c r="N258" i="34"/>
  <c r="R258" i="34"/>
  <c r="S258" i="34"/>
  <c r="T258" i="34"/>
  <c r="V258" i="34"/>
  <c r="X258" i="34"/>
  <c r="Y258" i="34"/>
  <c r="N259" i="34"/>
  <c r="R259" i="34"/>
  <c r="S259" i="34"/>
  <c r="T259" i="34"/>
  <c r="V259" i="34"/>
  <c r="X259" i="34"/>
  <c r="Y259" i="34"/>
  <c r="N260" i="34"/>
  <c r="R260" i="34"/>
  <c r="S260" i="34"/>
  <c r="T260" i="34"/>
  <c r="V260" i="34"/>
  <c r="X260" i="34"/>
  <c r="Y260" i="34"/>
  <c r="N261" i="34"/>
  <c r="R261" i="34"/>
  <c r="S261" i="34"/>
  <c r="T261" i="34"/>
  <c r="V261" i="34"/>
  <c r="X261" i="34"/>
  <c r="Y261" i="34"/>
  <c r="N262" i="34"/>
  <c r="R262" i="34"/>
  <c r="S262" i="34"/>
  <c r="T262" i="34"/>
  <c r="V262" i="34"/>
  <c r="X262" i="34"/>
  <c r="Y262" i="34"/>
  <c r="N263" i="34"/>
  <c r="R263" i="34"/>
  <c r="S263" i="34"/>
  <c r="T263" i="34"/>
  <c r="V263" i="34"/>
  <c r="X263" i="34"/>
  <c r="Y263" i="34"/>
  <c r="N264" i="34"/>
  <c r="R264" i="34"/>
  <c r="S264" i="34"/>
  <c r="T264" i="34"/>
  <c r="V264" i="34"/>
  <c r="X264" i="34"/>
  <c r="Y264" i="34"/>
  <c r="C89" i="34"/>
  <c r="B89" i="34" s="1"/>
  <c r="A89" i="34" s="1"/>
  <c r="C138" i="34"/>
  <c r="B138" i="34" s="1"/>
  <c r="A138" i="34" s="1"/>
  <c r="C133" i="34"/>
  <c r="B133" i="34" s="1"/>
  <c r="A133" i="34" s="1"/>
  <c r="C154" i="34"/>
  <c r="B154" i="34" s="1"/>
  <c r="U154" i="34" s="1"/>
  <c r="C121" i="34"/>
  <c r="B121" i="34" s="1"/>
  <c r="C116" i="34"/>
  <c r="B116" i="34" s="1"/>
  <c r="A116" i="34" s="1"/>
  <c r="C110" i="34"/>
  <c r="B110" i="34" s="1"/>
  <c r="C97" i="34"/>
  <c r="B97" i="34" s="1"/>
  <c r="A97" i="34" s="1"/>
  <c r="C94" i="34"/>
  <c r="B94" i="34" s="1"/>
  <c r="A94" i="34" s="1"/>
  <c r="C74" i="34"/>
  <c r="B74" i="34" s="1"/>
  <c r="A74" i="34" s="1"/>
  <c r="C65" i="34"/>
  <c r="B65" i="34" s="1"/>
  <c r="C86" i="34"/>
  <c r="B86" i="34" s="1"/>
  <c r="C83" i="34"/>
  <c r="B83" i="34" s="1"/>
  <c r="C57" i="34"/>
  <c r="B57" i="34" s="1"/>
  <c r="C47" i="34"/>
  <c r="B47" i="34" s="1"/>
  <c r="C44" i="34"/>
  <c r="B44" i="34" s="1"/>
  <c r="A44" i="34" s="1"/>
  <c r="C40" i="34"/>
  <c r="B40" i="34" s="1"/>
  <c r="C36" i="34"/>
  <c r="B36" i="34" s="1"/>
  <c r="A36" i="34" s="1"/>
  <c r="U40" i="34" l="1"/>
  <c r="Z40" i="34"/>
  <c r="U121" i="34"/>
  <c r="Z121" i="34"/>
  <c r="U86" i="34"/>
  <c r="Z86" i="34"/>
  <c r="U47" i="34"/>
  <c r="Z47" i="34"/>
  <c r="U65" i="34"/>
  <c r="Z65" i="34"/>
  <c r="U110" i="34"/>
  <c r="Z110" i="34"/>
  <c r="A154" i="34"/>
  <c r="A110" i="34"/>
  <c r="A86" i="34"/>
  <c r="U57" i="34"/>
  <c r="Z57" i="34"/>
  <c r="U74" i="34"/>
  <c r="Z74" i="34"/>
  <c r="U116" i="34"/>
  <c r="Z116" i="34"/>
  <c r="U138" i="34"/>
  <c r="Z138" i="34"/>
  <c r="A121" i="34"/>
  <c r="A65" i="34"/>
  <c r="A57" i="34"/>
  <c r="U94" i="34"/>
  <c r="Z94" i="34"/>
  <c r="A40" i="34"/>
  <c r="U83" i="34"/>
  <c r="Z83" i="34"/>
  <c r="U44" i="34"/>
  <c r="Z44" i="34"/>
  <c r="U97" i="34"/>
  <c r="Z97" i="34"/>
  <c r="A83" i="34"/>
  <c r="A47" i="34"/>
  <c r="Z154" i="34"/>
  <c r="U89" i="34"/>
  <c r="Z89" i="34"/>
  <c r="U36" i="34"/>
  <c r="Z36" i="34"/>
  <c r="U133" i="34"/>
  <c r="Z133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C77" i="34"/>
  <c r="C78" i="34"/>
  <c r="C79" i="34"/>
  <c r="C98" i="34"/>
  <c r="C124" i="34"/>
  <c r="C126" i="34"/>
  <c r="C91" i="34"/>
  <c r="C117" i="34"/>
  <c r="C125" i="34"/>
  <c r="C134" i="34"/>
  <c r="C144" i="34"/>
  <c r="C147" i="34"/>
  <c r="C155" i="34"/>
  <c r="C156" i="34"/>
  <c r="K136" i="34" l="1"/>
  <c r="K135" i="34"/>
  <c r="K131" i="34"/>
  <c r="K130" i="34"/>
  <c r="K152" i="34"/>
  <c r="K151" i="34"/>
  <c r="K150" i="34"/>
  <c r="K143" i="34"/>
  <c r="K142" i="34"/>
  <c r="K141" i="34"/>
  <c r="K140" i="34"/>
  <c r="K122" i="34"/>
  <c r="K119" i="34"/>
  <c r="K118" i="34"/>
  <c r="K113" i="34"/>
  <c r="K114" i="34"/>
  <c r="K107" i="34"/>
  <c r="K108" i="34"/>
  <c r="K106" i="34"/>
  <c r="K95" i="34"/>
  <c r="K92" i="34"/>
  <c r="K112" i="34"/>
  <c r="K111" i="34"/>
  <c r="K105" i="34"/>
  <c r="K104" i="34"/>
  <c r="K76" i="34"/>
  <c r="K75" i="34"/>
  <c r="K72" i="34"/>
  <c r="K71" i="34"/>
  <c r="K63" i="34"/>
  <c r="K84" i="34"/>
  <c r="K81" i="34"/>
  <c r="K80" i="34"/>
  <c r="K87" i="34"/>
  <c r="K51" i="34"/>
  <c r="K50" i="34"/>
  <c r="K55" i="34"/>
  <c r="K28" i="34"/>
  <c r="K45" i="34"/>
  <c r="K41" i="34" l="1"/>
  <c r="K42" i="34"/>
  <c r="K37" i="34"/>
  <c r="K38" i="34"/>
  <c r="K34" i="34"/>
  <c r="K33" i="34"/>
  <c r="K49" i="34"/>
  <c r="K48" i="34"/>
  <c r="K54" i="34"/>
  <c r="K53" i="34"/>
  <c r="C54" i="34"/>
  <c r="C48" i="34"/>
  <c r="C49" i="34"/>
  <c r="C30" i="34"/>
  <c r="C31" i="34"/>
  <c r="C33" i="34"/>
  <c r="C34" i="34"/>
  <c r="C35" i="34"/>
  <c r="C37" i="34"/>
  <c r="C38" i="34"/>
  <c r="C39" i="34"/>
  <c r="C41" i="34"/>
  <c r="C42" i="34"/>
  <c r="C43" i="34"/>
  <c r="C45" i="34"/>
  <c r="C46" i="34"/>
  <c r="C28" i="34"/>
  <c r="C29" i="34"/>
  <c r="C55" i="34"/>
  <c r="C56" i="34"/>
  <c r="C67" i="34"/>
  <c r="C68" i="34"/>
  <c r="C69" i="34"/>
  <c r="C50" i="34"/>
  <c r="C51" i="34"/>
  <c r="C87" i="34"/>
  <c r="C88" i="34"/>
  <c r="C70" i="34"/>
  <c r="C90" i="34"/>
  <c r="C80" i="34"/>
  <c r="C81" i="34"/>
  <c r="C82" i="34"/>
  <c r="C84" i="34"/>
  <c r="C85" i="34"/>
  <c r="C63" i="34"/>
  <c r="C64" i="34"/>
  <c r="C71" i="34"/>
  <c r="C72" i="34"/>
  <c r="C73" i="34"/>
  <c r="C75" i="34"/>
  <c r="C76" i="34"/>
  <c r="C103" i="34"/>
  <c r="C101" i="34"/>
  <c r="C102" i="34"/>
  <c r="C26" i="34"/>
  <c r="C127" i="34"/>
  <c r="C128" i="34"/>
  <c r="C129" i="34"/>
  <c r="C111" i="34"/>
  <c r="C112" i="34"/>
  <c r="C104" i="34"/>
  <c r="C105" i="34"/>
  <c r="C99" i="34"/>
  <c r="C100" i="34"/>
  <c r="C92" i="34"/>
  <c r="C93" i="34"/>
  <c r="C95" i="34"/>
  <c r="C96" i="34"/>
  <c r="C106" i="34"/>
  <c r="C107" i="34"/>
  <c r="C108" i="34"/>
  <c r="C109" i="34"/>
  <c r="C113" i="34"/>
  <c r="C114" i="34"/>
  <c r="C115" i="34"/>
  <c r="C118" i="34"/>
  <c r="C119" i="34"/>
  <c r="C120" i="34"/>
  <c r="C122" i="34"/>
  <c r="C123" i="34"/>
  <c r="C140" i="34"/>
  <c r="C141" i="34"/>
  <c r="C142" i="34"/>
  <c r="C143" i="34"/>
  <c r="C160" i="34"/>
  <c r="C161" i="34"/>
  <c r="C148" i="34"/>
  <c r="C149" i="34"/>
  <c r="C145" i="34"/>
  <c r="C146" i="34"/>
  <c r="C157" i="34"/>
  <c r="C158" i="34"/>
  <c r="C150" i="34"/>
  <c r="C151" i="34"/>
  <c r="C152" i="34"/>
  <c r="C153" i="34"/>
  <c r="C130" i="34"/>
  <c r="C131" i="34"/>
  <c r="C132" i="34"/>
  <c r="C135" i="34"/>
  <c r="C136" i="34"/>
  <c r="C137" i="34"/>
  <c r="C159" i="34"/>
  <c r="C139" i="34"/>
  <c r="C27" i="34"/>
  <c r="C32" i="34"/>
  <c r="C52" i="34"/>
  <c r="C58" i="34"/>
  <c r="C59" i="34"/>
  <c r="C60" i="34"/>
  <c r="C61" i="34"/>
  <c r="C62" i="34"/>
  <c r="C66" i="34"/>
  <c r="C53" i="34"/>
  <c r="B313" i="34" l="1"/>
  <c r="A313" i="34" s="1"/>
  <c r="B314" i="34"/>
  <c r="A314" i="34" s="1"/>
  <c r="B315" i="34"/>
  <c r="A315" i="34" s="1"/>
  <c r="B316" i="34"/>
  <c r="A316" i="34" s="1"/>
  <c r="B317" i="34"/>
  <c r="A317" i="34" s="1"/>
  <c r="B318" i="34"/>
  <c r="A318" i="34" s="1"/>
  <c r="B319" i="34"/>
  <c r="A319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26" i="34"/>
  <c r="A326" i="34" s="1"/>
  <c r="B327" i="34"/>
  <c r="A327" i="34" s="1"/>
  <c r="B328" i="34"/>
  <c r="A328" i="34" s="1"/>
  <c r="B329" i="34"/>
  <c r="A329" i="34" s="1"/>
  <c r="B330" i="34"/>
  <c r="A330" i="34" s="1"/>
  <c r="B331" i="34"/>
  <c r="A331" i="34" s="1"/>
  <c r="B332" i="34"/>
  <c r="A332" i="34" s="1"/>
  <c r="B333" i="34"/>
  <c r="A333" i="34" s="1"/>
  <c r="B334" i="34"/>
  <c r="A334" i="34" s="1"/>
  <c r="B335" i="34"/>
  <c r="A335" i="34" s="1"/>
  <c r="B336" i="34"/>
  <c r="A336" i="34" s="1"/>
  <c r="B337" i="34"/>
  <c r="A337" i="34" s="1"/>
  <c r="B338" i="34"/>
  <c r="A338" i="34" s="1"/>
  <c r="B339" i="34"/>
  <c r="A339" i="34" s="1"/>
  <c r="B340" i="34"/>
  <c r="A340" i="34" s="1"/>
  <c r="B341" i="34"/>
  <c r="A341" i="34" s="1"/>
  <c r="B342" i="34"/>
  <c r="A342" i="34" s="1"/>
  <c r="B343" i="34"/>
  <c r="A343" i="34" s="1"/>
  <c r="B344" i="34"/>
  <c r="A344" i="34" s="1"/>
  <c r="B345" i="34"/>
  <c r="A345" i="34" s="1"/>
  <c r="B346" i="34"/>
  <c r="A346" i="34" s="1"/>
  <c r="B347" i="34"/>
  <c r="A347" i="34" s="1"/>
  <c r="B348" i="34"/>
  <c r="A348" i="34" s="1"/>
  <c r="B349" i="34"/>
  <c r="A349" i="34" s="1"/>
  <c r="B350" i="34"/>
  <c r="A350" i="34" s="1"/>
  <c r="B351" i="34"/>
  <c r="A351" i="34" s="1"/>
  <c r="B352" i="34"/>
  <c r="A352" i="34" s="1"/>
  <c r="B353" i="34"/>
  <c r="A353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59" i="34"/>
  <c r="A359" i="34" s="1"/>
  <c r="B360" i="34"/>
  <c r="A360" i="34" s="1"/>
  <c r="B361" i="34"/>
  <c r="A361" i="34" s="1"/>
  <c r="B362" i="34"/>
  <c r="A362" i="34" s="1"/>
  <c r="B363" i="34"/>
  <c r="A363" i="34" s="1"/>
  <c r="B364" i="34"/>
  <c r="A364" i="34" s="1"/>
  <c r="B365" i="34"/>
  <c r="A365" i="34" s="1"/>
  <c r="B366" i="34"/>
  <c r="A366" i="34" s="1"/>
  <c r="B367" i="34"/>
  <c r="A367" i="34" s="1"/>
  <c r="B368" i="34"/>
  <c r="A368" i="34" s="1"/>
  <c r="B369" i="34"/>
  <c r="A369" i="34" s="1"/>
  <c r="B370" i="34"/>
  <c r="A370" i="34" s="1"/>
  <c r="B371" i="34"/>
  <c r="A371" i="34" s="1"/>
  <c r="B372" i="34"/>
  <c r="A372" i="34" s="1"/>
  <c r="B373" i="34"/>
  <c r="A373" i="34" s="1"/>
  <c r="B374" i="34"/>
  <c r="A374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2" i="34"/>
  <c r="A382" i="34" s="1"/>
  <c r="B383" i="34"/>
  <c r="A383" i="34" s="1"/>
  <c r="B384" i="34"/>
  <c r="A384" i="34" s="1"/>
  <c r="B385" i="34"/>
  <c r="A385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7" i="34"/>
  <c r="A397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406" i="34"/>
  <c r="A406" i="34" s="1"/>
  <c r="B407" i="34"/>
  <c r="A407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19" i="34"/>
  <c r="A419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428" i="34"/>
  <c r="A428" i="34" s="1"/>
  <c r="B429" i="34"/>
  <c r="A429" i="34" s="1"/>
  <c r="B430" i="34"/>
  <c r="A43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64" i="34" l="1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B501" i="34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0" i="34"/>
  <c r="A510" i="34" s="1"/>
  <c r="B511" i="34"/>
  <c r="A511" i="34" s="1"/>
  <c r="B512" i="34"/>
  <c r="A512" i="34" s="1"/>
  <c r="B513" i="34"/>
  <c r="A513" i="34" s="1"/>
  <c r="B514" i="34"/>
  <c r="A514" i="34" s="1"/>
  <c r="B515" i="34"/>
  <c r="A515" i="34" s="1"/>
  <c r="B516" i="34"/>
  <c r="A516" i="34" s="1"/>
  <c r="B517" i="34"/>
  <c r="A517" i="34" s="1"/>
  <c r="B518" i="34"/>
  <c r="A51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48" i="34"/>
  <c r="A448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63" i="34"/>
  <c r="A463" i="34" s="1"/>
  <c r="B91" i="55" l="1"/>
  <c r="A91" i="55" s="1"/>
  <c r="G91" i="55" a="1"/>
  <c r="G91" i="55" s="1"/>
  <c r="I91" i="55" a="1"/>
  <c r="I91" i="55" s="1"/>
  <c r="B31" i="55"/>
  <c r="A31" i="55" s="1"/>
  <c r="G31" i="55" a="1"/>
  <c r="G31" i="55" s="1"/>
  <c r="I31" i="55" a="1"/>
  <c r="I31" i="55" s="1"/>
  <c r="B29" i="55"/>
  <c r="A29" i="55" s="1"/>
  <c r="G29" i="55" a="1"/>
  <c r="G29" i="55" s="1"/>
  <c r="I29" i="55" a="1"/>
  <c r="I29" i="55" s="1"/>
  <c r="B26" i="55"/>
  <c r="A26" i="55" s="1"/>
  <c r="G26" i="55" a="1"/>
  <c r="G26" i="55" s="1"/>
  <c r="I26" i="55" a="1"/>
  <c r="I26" i="55" s="1"/>
  <c r="B56" i="55"/>
  <c r="A56" i="55" s="1"/>
  <c r="G56" i="55" a="1"/>
  <c r="G56" i="55" s="1"/>
  <c r="I56" i="55" a="1"/>
  <c r="I56" i="55" s="1"/>
  <c r="B41" i="55"/>
  <c r="A41" i="55" s="1"/>
  <c r="G41" i="55" a="1"/>
  <c r="G41" i="55" s="1"/>
  <c r="I41" i="55" a="1"/>
  <c r="I41" i="55" s="1"/>
  <c r="B42" i="55"/>
  <c r="A42" i="55" s="1"/>
  <c r="G42" i="55" a="1"/>
  <c r="G42" i="55" s="1"/>
  <c r="I42" i="55" a="1"/>
  <c r="I42" i="55" s="1"/>
  <c r="B74" i="55"/>
  <c r="A74" i="55" s="1"/>
  <c r="G74" i="55" a="1"/>
  <c r="G74" i="55" s="1"/>
  <c r="I74" i="55" a="1"/>
  <c r="I74" i="55" s="1"/>
  <c r="B35" i="55"/>
  <c r="A35" i="55" s="1"/>
  <c r="G35" i="55" a="1"/>
  <c r="G35" i="55" s="1"/>
  <c r="I35" i="55" a="1"/>
  <c r="I35" i="55" s="1"/>
  <c r="B33" i="55"/>
  <c r="A33" i="55" s="1"/>
  <c r="G33" i="55" a="1"/>
  <c r="G33" i="55" s="1"/>
  <c r="I33" i="55" a="1"/>
  <c r="I33" i="55" s="1"/>
  <c r="B44" i="55"/>
  <c r="A44" i="55" s="1"/>
  <c r="G44" i="55" a="1"/>
  <c r="G44" i="55" s="1"/>
  <c r="I44" i="55" a="1"/>
  <c r="I44" i="55" s="1"/>
  <c r="B90" i="55"/>
  <c r="A90" i="55" s="1"/>
  <c r="G90" i="55" a="1"/>
  <c r="G90" i="55" s="1"/>
  <c r="I90" i="55" a="1"/>
  <c r="I90" i="55" s="1"/>
  <c r="B72" i="55"/>
  <c r="A72" i="55" s="1"/>
  <c r="G72" i="55" a="1"/>
  <c r="G72" i="55" s="1"/>
  <c r="I72" i="55" a="1"/>
  <c r="I72" i="55" s="1"/>
  <c r="B43" i="55"/>
  <c r="A43" i="55" s="1"/>
  <c r="G43" i="55" a="1"/>
  <c r="G43" i="55" s="1"/>
  <c r="I43" i="55" a="1"/>
  <c r="I43" i="55" s="1"/>
  <c r="B96" i="55"/>
  <c r="A96" i="55" s="1"/>
  <c r="G96" i="55" a="1"/>
  <c r="G96" i="55" s="1"/>
  <c r="I96" i="55" a="1"/>
  <c r="I96" i="55" s="1"/>
  <c r="B14" i="55"/>
  <c r="A14" i="55" s="1"/>
  <c r="G14" i="55" a="1"/>
  <c r="G14" i="55" s="1"/>
  <c r="I14" i="55" a="1"/>
  <c r="I14" i="55" s="1"/>
  <c r="B22" i="55"/>
  <c r="A22" i="55" s="1"/>
  <c r="G22" i="55" a="1"/>
  <c r="G22" i="55" s="1"/>
  <c r="I22" i="55" a="1"/>
  <c r="I22" i="55" s="1"/>
  <c r="B45" i="55"/>
  <c r="A45" i="55" s="1"/>
  <c r="G45" i="55" a="1"/>
  <c r="G45" i="55" s="1"/>
  <c r="I45" i="55" a="1"/>
  <c r="I45" i="55" s="1"/>
  <c r="B50" i="55"/>
  <c r="A50" i="55" s="1"/>
  <c r="G50" i="55" a="1"/>
  <c r="G50" i="55" s="1"/>
  <c r="I50" i="55" a="1"/>
  <c r="I50" i="55" s="1"/>
  <c r="B69" i="55"/>
  <c r="A69" i="55" s="1"/>
  <c r="G69" i="55" a="1"/>
  <c r="G69" i="55" s="1"/>
  <c r="I69" i="55" a="1"/>
  <c r="I69" i="55" s="1"/>
  <c r="B75" i="55"/>
  <c r="A75" i="55" s="1"/>
  <c r="G75" i="55" a="1"/>
  <c r="G75" i="55" s="1"/>
  <c r="I75" i="55" a="1"/>
  <c r="I75" i="55" s="1"/>
  <c r="B79" i="55"/>
  <c r="A79" i="55" s="1"/>
  <c r="G79" i="55" a="1"/>
  <c r="G79" i="55" s="1"/>
  <c r="I79" i="55" a="1"/>
  <c r="I79" i="55" s="1"/>
  <c r="B81" i="55"/>
  <c r="A81" i="55" s="1"/>
  <c r="G81" i="55" a="1"/>
  <c r="G81" i="55" s="1"/>
  <c r="I81" i="55" a="1"/>
  <c r="I81" i="55" s="1"/>
  <c r="B92" i="55"/>
  <c r="A92" i="55" s="1"/>
  <c r="G92" i="55" a="1"/>
  <c r="G92" i="55" s="1"/>
  <c r="I92" i="55" a="1"/>
  <c r="I92" i="55" s="1"/>
  <c r="B100" i="55"/>
  <c r="A100" i="55" s="1"/>
  <c r="G100" i="55" a="1"/>
  <c r="G100" i="55" s="1"/>
  <c r="I100" i="55" a="1"/>
  <c r="I100" i="55" s="1"/>
  <c r="B87" i="55"/>
  <c r="A87" i="55" s="1"/>
  <c r="G87" i="55" a="1"/>
  <c r="G87" i="55" s="1"/>
  <c r="I87" i="55" a="1"/>
  <c r="I87" i="55" s="1"/>
  <c r="B88" i="55"/>
  <c r="A88" i="55" s="1"/>
  <c r="G88" i="55" a="1"/>
  <c r="G88" i="55" s="1"/>
  <c r="I88" i="55" a="1"/>
  <c r="I88" i="55" s="1"/>
  <c r="B70" i="55"/>
  <c r="A70" i="55" s="1"/>
  <c r="G70" i="55" a="1"/>
  <c r="G70" i="55" s="1"/>
  <c r="I70" i="55" a="1"/>
  <c r="I70" i="55" s="1"/>
  <c r="B86" i="55"/>
  <c r="A86" i="55" s="1"/>
  <c r="G86" i="55" a="1"/>
  <c r="G86" i="55" s="1"/>
  <c r="I86" i="55" a="1"/>
  <c r="I86" i="55" s="1"/>
  <c r="B49" i="55"/>
  <c r="A49" i="55" s="1"/>
  <c r="G49" i="55" a="1"/>
  <c r="G49" i="55" s="1"/>
  <c r="I49" i="55" a="1"/>
  <c r="I49" i="55" s="1"/>
  <c r="B76" i="55"/>
  <c r="A76" i="55" s="1"/>
  <c r="G76" i="55" a="1"/>
  <c r="G76" i="55" s="1"/>
  <c r="I76" i="55" a="1"/>
  <c r="I76" i="55" s="1"/>
  <c r="B17" i="55"/>
  <c r="A17" i="55" s="1"/>
  <c r="G17" i="55" a="1"/>
  <c r="G17" i="55" s="1"/>
  <c r="I17" i="55" a="1"/>
  <c r="I17" i="55" s="1"/>
  <c r="B48" i="55"/>
  <c r="A48" i="55" s="1"/>
  <c r="G48" i="55" a="1"/>
  <c r="G48" i="55" s="1"/>
  <c r="I48" i="55" a="1"/>
  <c r="I48" i="55" s="1"/>
  <c r="B13" i="55"/>
  <c r="A13" i="55" s="1"/>
  <c r="G13" i="55" a="1"/>
  <c r="G13" i="55" s="1"/>
  <c r="I13" i="55" a="1"/>
  <c r="I13" i="55" s="1"/>
  <c r="B63" i="55"/>
  <c r="A63" i="55" s="1"/>
  <c r="G63" i="55" a="1"/>
  <c r="G63" i="55" s="1"/>
  <c r="I63" i="55" a="1"/>
  <c r="I63" i="55" s="1"/>
  <c r="B12" i="55"/>
  <c r="A12" i="55" s="1"/>
  <c r="G12" i="55" a="1"/>
  <c r="G12" i="55" s="1"/>
  <c r="I12" i="55" a="1"/>
  <c r="I12" i="55" s="1"/>
  <c r="B38" i="55"/>
  <c r="A38" i="55" s="1"/>
  <c r="G38" i="55" a="1"/>
  <c r="G38" i="55" s="1"/>
  <c r="I38" i="55" a="1"/>
  <c r="I38" i="55" s="1"/>
  <c r="B46" i="55"/>
  <c r="A46" i="55" s="1"/>
  <c r="G46" i="55" a="1"/>
  <c r="G46" i="55" s="1"/>
  <c r="I46" i="55" a="1"/>
  <c r="I46" i="55" s="1"/>
  <c r="B65" i="55"/>
  <c r="A65" i="55" s="1"/>
  <c r="G65" i="55" a="1"/>
  <c r="G65" i="55" s="1"/>
  <c r="I65" i="55" a="1"/>
  <c r="I65" i="55" s="1"/>
  <c r="B66" i="55"/>
  <c r="A66" i="55" s="1"/>
  <c r="G66" i="55" a="1"/>
  <c r="G66" i="55" s="1"/>
  <c r="I66" i="55" a="1"/>
  <c r="I66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4" i="55" a="1"/>
  <c r="G34" i="55" s="1"/>
  <c r="I34" i="55" a="1"/>
  <c r="I34" i="55" s="1"/>
  <c r="G36" i="55" a="1"/>
  <c r="G36" i="55" s="1"/>
  <c r="I36" i="55" a="1"/>
  <c r="I36" i="55" s="1"/>
  <c r="G37" i="55" a="1"/>
  <c r="G37" i="55" s="1"/>
  <c r="I37" i="55" a="1"/>
  <c r="I37" i="55" s="1"/>
  <c r="G39" i="55" a="1"/>
  <c r="G39" i="55" s="1"/>
  <c r="I39" i="55" a="1"/>
  <c r="I39" i="55" s="1"/>
  <c r="G40" i="55" a="1"/>
  <c r="G40" i="55" s="1"/>
  <c r="I40" i="55" a="1"/>
  <c r="I40" i="55" s="1"/>
  <c r="G47" i="55" a="1"/>
  <c r="G47" i="55" s="1"/>
  <c r="I47" i="55" a="1"/>
  <c r="I47" i="55" s="1"/>
  <c r="G52" i="55" a="1"/>
  <c r="G52" i="55" s="1"/>
  <c r="I52" i="55" a="1"/>
  <c r="I52" i="55" s="1"/>
  <c r="G53" i="55" a="1"/>
  <c r="G53" i="55" s="1"/>
  <c r="I53" i="55" a="1"/>
  <c r="I53" i="55" s="1"/>
  <c r="G54" i="55" a="1"/>
  <c r="G54" i="55" s="1"/>
  <c r="I54" i="55" a="1"/>
  <c r="I54" i="55" s="1"/>
  <c r="G55" i="55" a="1"/>
  <c r="G55" i="55" s="1"/>
  <c r="I55" i="55" a="1"/>
  <c r="I55" i="55" s="1"/>
  <c r="G58" i="55" a="1"/>
  <c r="G58" i="55" s="1"/>
  <c r="I58" i="55" a="1"/>
  <c r="I58" i="55" s="1"/>
  <c r="G59" i="55" a="1"/>
  <c r="G59" i="55" s="1"/>
  <c r="I59" i="55" a="1"/>
  <c r="I59" i="55" s="1"/>
  <c r="G60" i="55" a="1"/>
  <c r="G60" i="55" s="1"/>
  <c r="I60" i="55" a="1"/>
  <c r="I60" i="55" s="1"/>
  <c r="G61" i="55" a="1"/>
  <c r="G61" i="55" s="1"/>
  <c r="I61" i="55" a="1"/>
  <c r="I61" i="55" s="1"/>
  <c r="G62" i="55" a="1"/>
  <c r="G62" i="55" s="1"/>
  <c r="I62" i="55" a="1"/>
  <c r="I62" i="55" s="1"/>
  <c r="G64" i="55" a="1"/>
  <c r="G64" i="55" s="1"/>
  <c r="I64" i="55" a="1"/>
  <c r="I64" i="55" s="1"/>
  <c r="G67" i="55" a="1"/>
  <c r="G67" i="55" s="1"/>
  <c r="I67" i="55" a="1"/>
  <c r="I67" i="55" s="1"/>
  <c r="G68" i="55" a="1"/>
  <c r="G68" i="55" s="1"/>
  <c r="I68" i="55" a="1"/>
  <c r="I68" i="55" s="1"/>
  <c r="G71" i="55" a="1"/>
  <c r="G71" i="55" s="1"/>
  <c r="I71" i="55" a="1"/>
  <c r="I71" i="55" s="1"/>
  <c r="G73" i="55" a="1"/>
  <c r="G73" i="55" s="1"/>
  <c r="I73" i="55" a="1"/>
  <c r="I73" i="55" s="1"/>
  <c r="G77" i="55" a="1"/>
  <c r="G77" i="55" s="1"/>
  <c r="I77" i="55" a="1"/>
  <c r="I77" i="55" s="1"/>
  <c r="G78" i="55" a="1"/>
  <c r="G78" i="55" s="1"/>
  <c r="I78" i="55" a="1"/>
  <c r="I78" i="55" s="1"/>
  <c r="G82" i="55" a="1"/>
  <c r="G82" i="55" s="1"/>
  <c r="I82" i="55" a="1"/>
  <c r="I82" i="55" s="1"/>
  <c r="G83" i="55" a="1"/>
  <c r="G83" i="55" s="1"/>
  <c r="I83" i="55" a="1"/>
  <c r="I83" i="55" s="1"/>
  <c r="G84" i="55" a="1"/>
  <c r="G84" i="55" s="1"/>
  <c r="I84" i="55" a="1"/>
  <c r="I84" i="55" s="1"/>
  <c r="G85" i="55" a="1"/>
  <c r="G85" i="55" s="1"/>
  <c r="I85" i="55" a="1"/>
  <c r="I85" i="55" s="1"/>
  <c r="G89" i="55" a="1"/>
  <c r="G89" i="55" s="1"/>
  <c r="I89" i="55" a="1"/>
  <c r="I89" i="55" s="1"/>
  <c r="G93" i="55" a="1"/>
  <c r="G93" i="55" s="1"/>
  <c r="I93" i="55" a="1"/>
  <c r="I93" i="55" s="1"/>
  <c r="G94" i="55" a="1"/>
  <c r="G94" i="55" s="1"/>
  <c r="I94" i="55" a="1"/>
  <c r="I94" i="55" s="1"/>
  <c r="G97" i="55" a="1"/>
  <c r="G97" i="55" s="1"/>
  <c r="I97" i="55" a="1"/>
  <c r="I97" i="55" s="1"/>
  <c r="G98" i="55" a="1"/>
  <c r="G98" i="55" s="1"/>
  <c r="I98" i="55" a="1"/>
  <c r="I98" i="55" s="1"/>
  <c r="G99" i="55" a="1"/>
  <c r="G99" i="55" s="1"/>
  <c r="I99" i="55" a="1"/>
  <c r="I99" i="55" s="1"/>
  <c r="G95" i="55" a="1"/>
  <c r="G95" i="55" s="1"/>
  <c r="I95" i="55" a="1"/>
  <c r="I95" i="55" s="1"/>
  <c r="G57" i="55" a="1"/>
  <c r="G57" i="55" s="1"/>
  <c r="I57" i="55" a="1"/>
  <c r="I57" i="55" s="1"/>
  <c r="G80" i="55" a="1"/>
  <c r="G80" i="55" s="1"/>
  <c r="I80" i="55" a="1"/>
  <c r="I80" i="55" s="1"/>
  <c r="G51" i="55" a="1"/>
  <c r="G51" i="55" s="1"/>
  <c r="I51" i="55" a="1"/>
  <c r="I51" i="55" s="1"/>
  <c r="G23" i="55" a="1"/>
  <c r="G23" i="55" s="1"/>
  <c r="I23" i="55" a="1"/>
  <c r="I23" i="55" s="1"/>
  <c r="I20" i="55" a="1"/>
  <c r="I20" i="55" s="1"/>
  <c r="G20" i="55" a="1"/>
  <c r="G20" i="55" s="1"/>
  <c r="K19" i="55"/>
  <c r="E102" i="55"/>
  <c r="B19" i="55"/>
  <c r="A19" i="55" s="1"/>
  <c r="B15" i="55"/>
  <c r="A15" i="55" s="1"/>
  <c r="B21" i="55"/>
  <c r="A21" i="55" s="1"/>
  <c r="B18" i="55"/>
  <c r="A18" i="55" s="1"/>
  <c r="B25" i="55"/>
  <c r="A25" i="55" s="1"/>
  <c r="B27" i="55"/>
  <c r="A27" i="55" s="1"/>
  <c r="B24" i="55"/>
  <c r="A24" i="55" s="1"/>
  <c r="B16" i="55"/>
  <c r="A16" i="55" s="1"/>
  <c r="B32" i="55"/>
  <c r="A32" i="55" s="1"/>
  <c r="B28" i="55"/>
  <c r="A28" i="55" s="1"/>
  <c r="B30" i="55"/>
  <c r="A30" i="55" s="1"/>
  <c r="B34" i="55"/>
  <c r="A34" i="55" s="1"/>
  <c r="B36" i="55"/>
  <c r="A36" i="55" s="1"/>
  <c r="B37" i="55"/>
  <c r="A37" i="55" s="1"/>
  <c r="B39" i="55"/>
  <c r="A39" i="55" s="1"/>
  <c r="B40" i="55"/>
  <c r="A40" i="55" s="1"/>
  <c r="B47" i="55"/>
  <c r="A47" i="55" s="1"/>
  <c r="B52" i="55"/>
  <c r="A52" i="55" s="1"/>
  <c r="B53" i="55"/>
  <c r="A53" i="55" s="1"/>
  <c r="B54" i="55"/>
  <c r="A54" i="55" s="1"/>
  <c r="B55" i="55"/>
  <c r="A55" i="55" s="1"/>
  <c r="B58" i="55"/>
  <c r="A58" i="55" s="1"/>
  <c r="B59" i="55"/>
  <c r="A59" i="55" s="1"/>
  <c r="B60" i="55"/>
  <c r="A60" i="55" s="1"/>
  <c r="B61" i="55"/>
  <c r="A61" i="55" s="1"/>
  <c r="B62" i="55"/>
  <c r="A62" i="55" s="1"/>
  <c r="B64" i="55"/>
  <c r="A64" i="55" s="1"/>
  <c r="B67" i="55"/>
  <c r="A67" i="55" s="1"/>
  <c r="B68" i="55"/>
  <c r="A68" i="55" s="1"/>
  <c r="B71" i="55"/>
  <c r="A71" i="55" s="1"/>
  <c r="B73" i="55"/>
  <c r="A73" i="55" s="1"/>
  <c r="B77" i="55"/>
  <c r="A77" i="55" s="1"/>
  <c r="B78" i="55"/>
  <c r="A78" i="55" s="1"/>
  <c r="B82" i="55"/>
  <c r="A82" i="55" s="1"/>
  <c r="B83" i="55"/>
  <c r="A83" i="55" s="1"/>
  <c r="B84" i="55"/>
  <c r="A84" i="55" s="1"/>
  <c r="B85" i="55"/>
  <c r="A85" i="55" s="1"/>
  <c r="B89" i="55"/>
  <c r="A89" i="55" s="1"/>
  <c r="B93" i="55"/>
  <c r="A93" i="55" s="1"/>
  <c r="B94" i="55"/>
  <c r="A94" i="55" s="1"/>
  <c r="B97" i="55"/>
  <c r="A97" i="55" s="1"/>
  <c r="B98" i="55"/>
  <c r="A98" i="55" s="1"/>
  <c r="B99" i="55"/>
  <c r="A99" i="55" s="1"/>
  <c r="B95" i="55"/>
  <c r="B57" i="55"/>
  <c r="A57" i="55" s="1"/>
  <c r="B80" i="55"/>
  <c r="A80" i="55" s="1"/>
  <c r="B51" i="55"/>
  <c r="A51" i="55" s="1"/>
  <c r="B23" i="55"/>
  <c r="A23" i="55" s="1"/>
  <c r="B101" i="55"/>
  <c r="B20" i="55"/>
  <c r="A20" i="55" s="1"/>
  <c r="Y311" i="34"/>
  <c r="X311" i="34"/>
  <c r="T311" i="34"/>
  <c r="S311" i="34"/>
  <c r="R311" i="34"/>
  <c r="N311" i="34"/>
  <c r="B311" i="34"/>
  <c r="Z311" i="34" s="1"/>
  <c r="Y310" i="34"/>
  <c r="X310" i="34"/>
  <c r="T310" i="34"/>
  <c r="S310" i="34"/>
  <c r="R310" i="34"/>
  <c r="N310" i="34"/>
  <c r="B310" i="34"/>
  <c r="Z310" i="34" s="1"/>
  <c r="Y309" i="34"/>
  <c r="X309" i="34"/>
  <c r="T309" i="34"/>
  <c r="S309" i="34"/>
  <c r="R309" i="34"/>
  <c r="N309" i="34"/>
  <c r="B309" i="34"/>
  <c r="Z309" i="34" s="1"/>
  <c r="Y308" i="34"/>
  <c r="X308" i="34"/>
  <c r="T308" i="34"/>
  <c r="S308" i="34"/>
  <c r="R308" i="34"/>
  <c r="N308" i="34"/>
  <c r="B308" i="34"/>
  <c r="Z308" i="34" s="1"/>
  <c r="Y307" i="34"/>
  <c r="X307" i="34"/>
  <c r="T307" i="34"/>
  <c r="S307" i="34"/>
  <c r="R307" i="34"/>
  <c r="N307" i="34"/>
  <c r="B307" i="34"/>
  <c r="Z307" i="34" s="1"/>
  <c r="Y306" i="34"/>
  <c r="X306" i="34"/>
  <c r="T306" i="34"/>
  <c r="S306" i="34"/>
  <c r="R306" i="34"/>
  <c r="N306" i="34"/>
  <c r="B306" i="34"/>
  <c r="Y312" i="34"/>
  <c r="X312" i="34"/>
  <c r="T312" i="34"/>
  <c r="S312" i="34"/>
  <c r="R312" i="34"/>
  <c r="N312" i="34"/>
  <c r="B312" i="34"/>
  <c r="Y305" i="34"/>
  <c r="X305" i="34"/>
  <c r="T305" i="34"/>
  <c r="S305" i="34"/>
  <c r="R305" i="34"/>
  <c r="N305" i="34"/>
  <c r="B305" i="34"/>
  <c r="Y437" i="34"/>
  <c r="X437" i="34"/>
  <c r="T437" i="34"/>
  <c r="S437" i="34"/>
  <c r="R437" i="34"/>
  <c r="N437" i="34"/>
  <c r="B437" i="34"/>
  <c r="Y463" i="34"/>
  <c r="X463" i="34"/>
  <c r="T463" i="34"/>
  <c r="S463" i="34"/>
  <c r="R463" i="34"/>
  <c r="N463" i="34"/>
  <c r="Z463" i="34"/>
  <c r="Y448" i="34"/>
  <c r="X448" i="34"/>
  <c r="T448" i="34"/>
  <c r="S448" i="34"/>
  <c r="R448" i="34"/>
  <c r="N448" i="34"/>
  <c r="Z448" i="34"/>
  <c r="K21" i="55" l="1"/>
  <c r="K27" i="55"/>
  <c r="K52" i="55"/>
  <c r="K39" i="55"/>
  <c r="K28" i="55"/>
  <c r="K97" i="55"/>
  <c r="K85" i="55"/>
  <c r="K15" i="55"/>
  <c r="K61" i="55"/>
  <c r="K99" i="55"/>
  <c r="K93" i="55"/>
  <c r="K78" i="55"/>
  <c r="K53" i="55"/>
  <c r="K89" i="55"/>
  <c r="K75" i="55"/>
  <c r="K25" i="55"/>
  <c r="K45" i="55"/>
  <c r="K98" i="55"/>
  <c r="K82" i="55"/>
  <c r="K62" i="55"/>
  <c r="K58" i="55"/>
  <c r="K37" i="55"/>
  <c r="K32" i="55"/>
  <c r="K76" i="55"/>
  <c r="K70" i="55"/>
  <c r="K94" i="55"/>
  <c r="K71" i="55"/>
  <c r="K49" i="55"/>
  <c r="K38" i="55"/>
  <c r="K88" i="55"/>
  <c r="K48" i="55"/>
  <c r="K14" i="55"/>
  <c r="K96" i="55"/>
  <c r="K63" i="55"/>
  <c r="K13" i="55"/>
  <c r="K17" i="55"/>
  <c r="K86" i="55"/>
  <c r="K41" i="55"/>
  <c r="K79" i="55"/>
  <c r="K12" i="55"/>
  <c r="K69" i="55"/>
  <c r="K29" i="55"/>
  <c r="K92" i="55"/>
  <c r="K81" i="55"/>
  <c r="K43" i="55"/>
  <c r="K72" i="55"/>
  <c r="K44" i="55"/>
  <c r="K33" i="55"/>
  <c r="K26" i="55"/>
  <c r="K31" i="55"/>
  <c r="K74" i="55"/>
  <c r="K42" i="55"/>
  <c r="K35" i="55"/>
  <c r="K56" i="55"/>
  <c r="K91" i="55"/>
  <c r="K50" i="55"/>
  <c r="K87" i="55"/>
  <c r="K100" i="55"/>
  <c r="K22" i="55"/>
  <c r="K90" i="55"/>
  <c r="K67" i="55"/>
  <c r="K84" i="55"/>
  <c r="K77" i="55"/>
  <c r="K83" i="55"/>
  <c r="K65" i="55"/>
  <c r="K95" i="55"/>
  <c r="K73" i="55"/>
  <c r="K68" i="55"/>
  <c r="K64" i="55"/>
  <c r="K55" i="55"/>
  <c r="K47" i="55"/>
  <c r="K36" i="55"/>
  <c r="K30" i="55"/>
  <c r="K24" i="55"/>
  <c r="K18" i="55"/>
  <c r="K46" i="55"/>
  <c r="K60" i="55"/>
  <c r="K66" i="55"/>
  <c r="K54" i="55"/>
  <c r="K40" i="55"/>
  <c r="K34" i="55"/>
  <c r="K59" i="55"/>
  <c r="K16" i="55"/>
  <c r="K23" i="55"/>
  <c r="K80" i="55"/>
  <c r="K51" i="55"/>
  <c r="K57" i="55"/>
  <c r="K20" i="55"/>
  <c r="A309" i="34"/>
  <c r="A310" i="34"/>
  <c r="A311" i="34"/>
  <c r="U309" i="34"/>
  <c r="U310" i="34"/>
  <c r="U311" i="34"/>
  <c r="A307" i="34"/>
  <c r="A308" i="34"/>
  <c r="U307" i="34"/>
  <c r="U308" i="34"/>
  <c r="Z306" i="34"/>
  <c r="U306" i="34"/>
  <c r="A306" i="34"/>
  <c r="Z312" i="34"/>
  <c r="U312" i="34"/>
  <c r="A312" i="34"/>
  <c r="Z305" i="34"/>
  <c r="A305" i="34"/>
  <c r="U305" i="34"/>
  <c r="Z437" i="34"/>
  <c r="U437" i="34"/>
  <c r="A437" i="34"/>
  <c r="U463" i="34"/>
  <c r="U448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B88" i="34"/>
  <c r="B69" i="34"/>
  <c r="B67" i="34"/>
  <c r="B29" i="34"/>
  <c r="U67" i="34" l="1"/>
  <c r="Z67" i="34"/>
  <c r="A67" i="34"/>
  <c r="U69" i="34"/>
  <c r="Z69" i="34"/>
  <c r="A69" i="34"/>
  <c r="U88" i="34"/>
  <c r="Z88" i="34"/>
  <c r="A88" i="34"/>
  <c r="U29" i="34"/>
  <c r="Z29" i="34"/>
  <c r="A29" i="34"/>
  <c r="D53" i="15"/>
  <c r="G53" i="15"/>
  <c r="H53" i="15"/>
  <c r="C53" i="15"/>
  <c r="Y18" i="34" l="1"/>
  <c r="X18" i="34"/>
  <c r="T18" i="34"/>
  <c r="S18" i="34"/>
  <c r="R18" i="34"/>
  <c r="N18" i="34"/>
  <c r="K18" i="34"/>
  <c r="C18" i="34"/>
  <c r="B18" i="34" s="1"/>
  <c r="Z18" i="34" s="1"/>
  <c r="U18" i="34" l="1"/>
  <c r="A18" i="34"/>
  <c r="A6" i="70" l="1"/>
  <c r="A12" i="70"/>
  <c r="A11" i="70"/>
  <c r="A13" i="70"/>
  <c r="A16" i="70"/>
  <c r="A15" i="70"/>
  <c r="A95" i="55" l="1"/>
  <c r="T8" i="43" l="1"/>
  <c r="A2" i="79" l="1"/>
  <c r="A1" i="79"/>
  <c r="A2" i="53" l="1"/>
  <c r="A1" i="53"/>
  <c r="A3" i="54" l="1"/>
  <c r="A2" i="54"/>
  <c r="C22" i="54"/>
  <c r="B2" i="55" l="1"/>
  <c r="B1" i="55"/>
  <c r="A7" i="12"/>
  <c r="A6" i="12"/>
  <c r="A7" i="70"/>
  <c r="A14" i="70"/>
  <c r="A8" i="70"/>
  <c r="A17" i="70"/>
  <c r="A10" i="70"/>
  <c r="A21" i="70"/>
  <c r="A20" i="70"/>
  <c r="A18" i="70"/>
  <c r="A19" i="70"/>
  <c r="A9" i="70"/>
  <c r="A2" i="12"/>
  <c r="A1" i="12"/>
  <c r="A2" i="70"/>
  <c r="A1" i="70"/>
  <c r="A13" i="60" l="1"/>
  <c r="A2" i="60"/>
  <c r="K14" i="34" l="1"/>
  <c r="Y14" i="34"/>
  <c r="X14" i="34"/>
  <c r="T14" i="34"/>
  <c r="S14" i="34"/>
  <c r="R14" i="34"/>
  <c r="N14" i="34"/>
  <c r="C14" i="34"/>
  <c r="B14" i="34" s="1"/>
  <c r="A14" i="34" s="1"/>
  <c r="U14" i="34" l="1"/>
  <c r="N438" i="34" l="1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9" i="34"/>
  <c r="R449" i="34"/>
  <c r="S449" i="34"/>
  <c r="T449" i="34"/>
  <c r="X449" i="34"/>
  <c r="Y449" i="34"/>
  <c r="N450" i="34"/>
  <c r="R450" i="34"/>
  <c r="S450" i="34"/>
  <c r="T450" i="34"/>
  <c r="X450" i="34"/>
  <c r="Y450" i="34"/>
  <c r="N451" i="34"/>
  <c r="R451" i="34"/>
  <c r="S451" i="34"/>
  <c r="T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0" i="34"/>
  <c r="R480" i="34"/>
  <c r="S480" i="34"/>
  <c r="T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R492" i="34"/>
  <c r="S492" i="34"/>
  <c r="T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R508" i="34"/>
  <c r="S508" i="34"/>
  <c r="T508" i="34"/>
  <c r="X508" i="34"/>
  <c r="Y508" i="34"/>
  <c r="N509" i="34"/>
  <c r="R509" i="34"/>
  <c r="S509" i="34"/>
  <c r="T509" i="34"/>
  <c r="X509" i="34"/>
  <c r="Y509" i="34"/>
  <c r="N510" i="34"/>
  <c r="R510" i="34"/>
  <c r="S510" i="34"/>
  <c r="T510" i="34"/>
  <c r="X510" i="34"/>
  <c r="Y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R516" i="34"/>
  <c r="S516" i="34"/>
  <c r="T516" i="34"/>
  <c r="X516" i="34"/>
  <c r="Y516" i="34"/>
  <c r="N517" i="34"/>
  <c r="R517" i="34"/>
  <c r="S517" i="34"/>
  <c r="T517" i="34"/>
  <c r="X517" i="34"/>
  <c r="Y517" i="34"/>
  <c r="N518" i="34"/>
  <c r="R518" i="34"/>
  <c r="S518" i="34"/>
  <c r="T518" i="34"/>
  <c r="X518" i="34"/>
  <c r="Y518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79" i="34"/>
  <c r="R379" i="34"/>
  <c r="S379" i="34"/>
  <c r="T379" i="34"/>
  <c r="X379" i="34"/>
  <c r="Y379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R412" i="34"/>
  <c r="S412" i="34"/>
  <c r="T412" i="34"/>
  <c r="X412" i="34"/>
  <c r="Y412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8" i="34"/>
  <c r="R418" i="34"/>
  <c r="S418" i="34"/>
  <c r="T418" i="34"/>
  <c r="X418" i="34"/>
  <c r="Y418" i="34"/>
  <c r="N419" i="34"/>
  <c r="R419" i="34"/>
  <c r="S419" i="34"/>
  <c r="T419" i="34"/>
  <c r="X419" i="34"/>
  <c r="Y419" i="34"/>
  <c r="N420" i="34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29" i="34"/>
  <c r="R429" i="34"/>
  <c r="S429" i="34"/>
  <c r="T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E23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A22" i="70" l="1"/>
  <c r="U418" i="34" l="1"/>
  <c r="U333" i="34"/>
  <c r="U337" i="34"/>
  <c r="U341" i="34"/>
  <c r="U363" i="34"/>
  <c r="U367" i="34"/>
  <c r="U404" i="34"/>
  <c r="U408" i="34"/>
  <c r="U412" i="34"/>
  <c r="U460" i="34"/>
  <c r="U465" i="34"/>
  <c r="U469" i="34"/>
  <c r="U494" i="34"/>
  <c r="U498" i="34"/>
  <c r="U331" i="34"/>
  <c r="U417" i="34"/>
  <c r="U415" i="34"/>
  <c r="U334" i="34"/>
  <c r="U338" i="34"/>
  <c r="U360" i="34"/>
  <c r="U364" i="34"/>
  <c r="U368" i="34"/>
  <c r="U405" i="34"/>
  <c r="U409" i="34"/>
  <c r="U413" i="34"/>
  <c r="U461" i="34"/>
  <c r="U466" i="34"/>
  <c r="U491" i="34"/>
  <c r="U495" i="34"/>
  <c r="U499" i="34"/>
  <c r="U332" i="34"/>
  <c r="U416" i="34"/>
  <c r="U335" i="34"/>
  <c r="U339" i="34"/>
  <c r="U361" i="34"/>
  <c r="U365" i="34"/>
  <c r="U402" i="34"/>
  <c r="U406" i="34"/>
  <c r="U410" i="34"/>
  <c r="U414" i="34"/>
  <c r="U462" i="34"/>
  <c r="U467" i="34"/>
  <c r="U492" i="34"/>
  <c r="U496" i="34"/>
  <c r="U398" i="34"/>
  <c r="U336" i="34"/>
  <c r="U340" i="34"/>
  <c r="U362" i="34"/>
  <c r="U366" i="34"/>
  <c r="U403" i="34"/>
  <c r="U407" i="34"/>
  <c r="U411" i="34"/>
  <c r="U464" i="34"/>
  <c r="U468" i="34"/>
  <c r="U493" i="34"/>
  <c r="U497" i="34"/>
  <c r="U399" i="34"/>
  <c r="B71" i="34"/>
  <c r="B64" i="34"/>
  <c r="B63" i="34"/>
  <c r="B85" i="34"/>
  <c r="B84" i="34"/>
  <c r="B82" i="34"/>
  <c r="B81" i="34"/>
  <c r="B80" i="34"/>
  <c r="B90" i="34"/>
  <c r="B70" i="34"/>
  <c r="B87" i="34"/>
  <c r="B51" i="34"/>
  <c r="B50" i="34"/>
  <c r="B68" i="34"/>
  <c r="B56" i="34"/>
  <c r="B55" i="34"/>
  <c r="B28" i="34"/>
  <c r="B46" i="34"/>
  <c r="B45" i="34"/>
  <c r="B43" i="34"/>
  <c r="B42" i="34"/>
  <c r="B41" i="34"/>
  <c r="B39" i="34"/>
  <c r="B38" i="34"/>
  <c r="B37" i="34"/>
  <c r="B35" i="34"/>
  <c r="B34" i="34"/>
  <c r="B33" i="34"/>
  <c r="B31" i="34"/>
  <c r="B30" i="34"/>
  <c r="B49" i="34"/>
  <c r="B48" i="34"/>
  <c r="B54" i="34"/>
  <c r="B122" i="34"/>
  <c r="B120" i="34"/>
  <c r="B119" i="34"/>
  <c r="B118" i="34"/>
  <c r="B115" i="34"/>
  <c r="B114" i="34"/>
  <c r="B113" i="34"/>
  <c r="B109" i="34"/>
  <c r="B108" i="34"/>
  <c r="B107" i="34"/>
  <c r="B106" i="34"/>
  <c r="B96" i="34"/>
  <c r="B95" i="34"/>
  <c r="B93" i="34"/>
  <c r="B92" i="34"/>
  <c r="B100" i="34"/>
  <c r="B99" i="34"/>
  <c r="B105" i="34"/>
  <c r="B104" i="34"/>
  <c r="B112" i="34"/>
  <c r="B111" i="34"/>
  <c r="B129" i="34"/>
  <c r="B128" i="34"/>
  <c r="B127" i="34"/>
  <c r="B26" i="34"/>
  <c r="B102" i="34"/>
  <c r="B101" i="34"/>
  <c r="B103" i="34"/>
  <c r="B76" i="34"/>
  <c r="B75" i="34"/>
  <c r="B73" i="34"/>
  <c r="B72" i="34"/>
  <c r="U26" i="34" l="1"/>
  <c r="Z26" i="34"/>
  <c r="A26" i="34"/>
  <c r="U115" i="34"/>
  <c r="Z115" i="34"/>
  <c r="A115" i="34"/>
  <c r="U46" i="34"/>
  <c r="Z46" i="34"/>
  <c r="A46" i="34"/>
  <c r="U75" i="34"/>
  <c r="Z75" i="34"/>
  <c r="A75" i="34"/>
  <c r="U102" i="34"/>
  <c r="Z102" i="34"/>
  <c r="A102" i="34"/>
  <c r="U129" i="34"/>
  <c r="Z129" i="34"/>
  <c r="A129" i="34"/>
  <c r="U105" i="34"/>
  <c r="Z105" i="34"/>
  <c r="A105" i="34"/>
  <c r="U93" i="34"/>
  <c r="Z93" i="34"/>
  <c r="A93" i="34"/>
  <c r="U107" i="34"/>
  <c r="Z107" i="34"/>
  <c r="A107" i="34"/>
  <c r="U114" i="34"/>
  <c r="Z114" i="34"/>
  <c r="A114" i="34"/>
  <c r="U120" i="34"/>
  <c r="Z120" i="34"/>
  <c r="A120" i="34"/>
  <c r="U49" i="34"/>
  <c r="Z49" i="34"/>
  <c r="A49" i="34"/>
  <c r="U34" i="34"/>
  <c r="Z34" i="34"/>
  <c r="A34" i="34"/>
  <c r="U39" i="34"/>
  <c r="Z39" i="34"/>
  <c r="A39" i="34"/>
  <c r="U45" i="34"/>
  <c r="Z45" i="34"/>
  <c r="A45" i="34"/>
  <c r="U56" i="34"/>
  <c r="Z56" i="34"/>
  <c r="A56" i="34"/>
  <c r="U87" i="34"/>
  <c r="Z87" i="34"/>
  <c r="A87" i="34"/>
  <c r="U81" i="34"/>
  <c r="Z81" i="34"/>
  <c r="A81" i="34"/>
  <c r="U63" i="34"/>
  <c r="Z63" i="34"/>
  <c r="A63" i="34"/>
  <c r="U95" i="34"/>
  <c r="Z95" i="34"/>
  <c r="A95" i="34"/>
  <c r="U41" i="34"/>
  <c r="Z41" i="34"/>
  <c r="A41" i="34"/>
  <c r="U70" i="34"/>
  <c r="Z70" i="34"/>
  <c r="A70" i="34"/>
  <c r="U64" i="34"/>
  <c r="Z64" i="34"/>
  <c r="A64" i="34"/>
  <c r="U111" i="34"/>
  <c r="Z111" i="34"/>
  <c r="A111" i="34"/>
  <c r="U108" i="34"/>
  <c r="Z108" i="34"/>
  <c r="A108" i="34"/>
  <c r="U30" i="34"/>
  <c r="Z30" i="34"/>
  <c r="A30" i="34"/>
  <c r="U68" i="34"/>
  <c r="Z68" i="34"/>
  <c r="A68" i="34"/>
  <c r="U72" i="34"/>
  <c r="Z72" i="34"/>
  <c r="A72" i="34"/>
  <c r="U127" i="34"/>
  <c r="Z127" i="34"/>
  <c r="A127" i="34"/>
  <c r="U112" i="34"/>
  <c r="Z112" i="34"/>
  <c r="A112" i="34"/>
  <c r="U100" i="34"/>
  <c r="Z100" i="34"/>
  <c r="A100" i="34"/>
  <c r="U96" i="34"/>
  <c r="Z96" i="34"/>
  <c r="A96" i="34"/>
  <c r="U109" i="34"/>
  <c r="Z109" i="34"/>
  <c r="A109" i="34"/>
  <c r="U118" i="34"/>
  <c r="Z118" i="34"/>
  <c r="A118" i="34"/>
  <c r="U54" i="34"/>
  <c r="Z54" i="34"/>
  <c r="A54" i="34"/>
  <c r="U31" i="34"/>
  <c r="Z31" i="34"/>
  <c r="A31" i="34"/>
  <c r="U37" i="34"/>
  <c r="Z37" i="34"/>
  <c r="A37" i="34"/>
  <c r="U42" i="34"/>
  <c r="Z42" i="34"/>
  <c r="A42" i="34"/>
  <c r="U28" i="34"/>
  <c r="Z28" i="34"/>
  <c r="A28" i="34"/>
  <c r="U50" i="34"/>
  <c r="Z50" i="34"/>
  <c r="A50" i="34"/>
  <c r="U90" i="34"/>
  <c r="Z90" i="34"/>
  <c r="A90" i="34"/>
  <c r="U84" i="34"/>
  <c r="Z84" i="34"/>
  <c r="A84" i="34"/>
  <c r="U71" i="34"/>
  <c r="Z71" i="34"/>
  <c r="A71" i="34"/>
  <c r="U76" i="34"/>
  <c r="Z76" i="34"/>
  <c r="A76" i="34"/>
  <c r="U99" i="34"/>
  <c r="Z99" i="34"/>
  <c r="A99" i="34"/>
  <c r="U122" i="34"/>
  <c r="Z122" i="34"/>
  <c r="A122" i="34"/>
  <c r="U35" i="34"/>
  <c r="Z35" i="34"/>
  <c r="A35" i="34"/>
  <c r="U82" i="34"/>
  <c r="Z82" i="34"/>
  <c r="A82" i="34"/>
  <c r="U103" i="34"/>
  <c r="Z103" i="34"/>
  <c r="A103" i="34"/>
  <c r="U73" i="34"/>
  <c r="Z73" i="34"/>
  <c r="A73" i="34"/>
  <c r="U101" i="34"/>
  <c r="Z101" i="34"/>
  <c r="A101" i="34"/>
  <c r="U128" i="34"/>
  <c r="Z128" i="34"/>
  <c r="A128" i="34"/>
  <c r="U104" i="34"/>
  <c r="Z104" i="34"/>
  <c r="A104" i="34"/>
  <c r="U92" i="34"/>
  <c r="Z92" i="34"/>
  <c r="A92" i="34"/>
  <c r="U106" i="34"/>
  <c r="Z106" i="34"/>
  <c r="A106" i="34"/>
  <c r="U113" i="34"/>
  <c r="Z113" i="34"/>
  <c r="A113" i="34"/>
  <c r="U119" i="34"/>
  <c r="Z119" i="34"/>
  <c r="A119" i="34"/>
  <c r="U48" i="34"/>
  <c r="Z48" i="34"/>
  <c r="A48" i="34"/>
  <c r="U33" i="34"/>
  <c r="Z33" i="34"/>
  <c r="A33" i="34"/>
  <c r="U38" i="34"/>
  <c r="Z38" i="34"/>
  <c r="A38" i="34"/>
  <c r="U43" i="34"/>
  <c r="Z43" i="34"/>
  <c r="A43" i="34"/>
  <c r="U55" i="34"/>
  <c r="Z55" i="34"/>
  <c r="A55" i="34"/>
  <c r="U51" i="34"/>
  <c r="Z51" i="34"/>
  <c r="A51" i="34"/>
  <c r="U80" i="34"/>
  <c r="Z80" i="34"/>
  <c r="A80" i="34"/>
  <c r="U85" i="34"/>
  <c r="Z85" i="34"/>
  <c r="A85" i="34"/>
  <c r="B194" i="34"/>
  <c r="B193" i="34"/>
  <c r="U193" i="34" l="1"/>
  <c r="Z193" i="34"/>
  <c r="A193" i="34"/>
  <c r="A194" i="34"/>
  <c r="U194" i="34"/>
  <c r="Z194" i="34"/>
  <c r="B136" i="34"/>
  <c r="U136" i="34" l="1"/>
  <c r="Z136" i="34"/>
  <c r="A136" i="34"/>
  <c r="U444" i="34"/>
  <c r="U446" i="34"/>
  <c r="U449" i="34"/>
  <c r="U451" i="34"/>
  <c r="U453" i="34"/>
  <c r="U455" i="34"/>
  <c r="U457" i="34"/>
  <c r="U459" i="34"/>
  <c r="U484" i="34"/>
  <c r="U486" i="34"/>
  <c r="U488" i="34"/>
  <c r="U490" i="34"/>
  <c r="U512" i="34"/>
  <c r="U514" i="34"/>
  <c r="U516" i="34"/>
  <c r="U518" i="34"/>
  <c r="U352" i="34"/>
  <c r="U354" i="34"/>
  <c r="U356" i="34"/>
  <c r="U358" i="34"/>
  <c r="U377" i="34"/>
  <c r="U379" i="34"/>
  <c r="U381" i="34"/>
  <c r="U383" i="34"/>
  <c r="U401" i="34"/>
  <c r="U435" i="34"/>
  <c r="U443" i="34"/>
  <c r="U445" i="34"/>
  <c r="U447" i="34"/>
  <c r="U450" i="34"/>
  <c r="U452" i="34"/>
  <c r="U454" i="34"/>
  <c r="U456" i="34"/>
  <c r="U458" i="34"/>
  <c r="U483" i="34"/>
  <c r="U485" i="34"/>
  <c r="U487" i="34"/>
  <c r="U489" i="34"/>
  <c r="U511" i="34"/>
  <c r="U513" i="34"/>
  <c r="U515" i="34"/>
  <c r="U517" i="34"/>
  <c r="U351" i="34"/>
  <c r="U353" i="34"/>
  <c r="U355" i="34"/>
  <c r="U357" i="34"/>
  <c r="U359" i="34"/>
  <c r="U378" i="34"/>
  <c r="U380" i="34"/>
  <c r="U382" i="34"/>
  <c r="U384" i="34"/>
  <c r="U434" i="34"/>
  <c r="U436" i="34"/>
  <c r="N23" i="34" l="1"/>
  <c r="R23" i="34"/>
  <c r="S23" i="34"/>
  <c r="T23" i="34"/>
  <c r="X23" i="34"/>
  <c r="Y23" i="34"/>
  <c r="U426" i="34" l="1"/>
  <c r="U430" i="34"/>
  <c r="U345" i="34"/>
  <c r="U349" i="34"/>
  <c r="U371" i="34"/>
  <c r="U375" i="34"/>
  <c r="U420" i="34"/>
  <c r="U424" i="34"/>
  <c r="U442" i="34"/>
  <c r="U478" i="34"/>
  <c r="U482" i="34"/>
  <c r="U506" i="34"/>
  <c r="U510" i="34"/>
  <c r="U394" i="34"/>
  <c r="U390" i="34"/>
  <c r="U324" i="34"/>
  <c r="U320" i="34"/>
  <c r="U316" i="34"/>
  <c r="U474" i="34"/>
  <c r="U470" i="34"/>
  <c r="U427" i="34"/>
  <c r="U431" i="34"/>
  <c r="U342" i="34"/>
  <c r="U346" i="34"/>
  <c r="U350" i="34"/>
  <c r="U372" i="34"/>
  <c r="U376" i="34"/>
  <c r="U421" i="34"/>
  <c r="U425" i="34"/>
  <c r="U475" i="34"/>
  <c r="U479" i="34"/>
  <c r="U503" i="34"/>
  <c r="U507" i="34"/>
  <c r="U393" i="34"/>
  <c r="U389" i="34"/>
  <c r="U323" i="34"/>
  <c r="U319" i="34"/>
  <c r="U315" i="34"/>
  <c r="U502" i="34"/>
  <c r="U473" i="34"/>
  <c r="U428" i="34"/>
  <c r="U432" i="34"/>
  <c r="U343" i="34"/>
  <c r="U347" i="34"/>
  <c r="U369" i="34"/>
  <c r="U373" i="34"/>
  <c r="U400" i="34"/>
  <c r="U422" i="34"/>
  <c r="U440" i="34"/>
  <c r="U476" i="34"/>
  <c r="U480" i="34"/>
  <c r="U504" i="34"/>
  <c r="U508" i="34"/>
  <c r="U438" i="34"/>
  <c r="U392" i="34"/>
  <c r="U326" i="34"/>
  <c r="U322" i="34"/>
  <c r="U318" i="34"/>
  <c r="U314" i="34"/>
  <c r="U501" i="34"/>
  <c r="U472" i="34"/>
  <c r="U429" i="34"/>
  <c r="U433" i="34"/>
  <c r="U344" i="34"/>
  <c r="U348" i="34"/>
  <c r="U370" i="34"/>
  <c r="U374" i="34"/>
  <c r="U419" i="34"/>
  <c r="U423" i="34"/>
  <c r="U441" i="34"/>
  <c r="U477" i="34"/>
  <c r="U481" i="34"/>
  <c r="U505" i="34"/>
  <c r="U509" i="34"/>
  <c r="U439" i="34"/>
  <c r="U395" i="34"/>
  <c r="U391" i="34"/>
  <c r="U325" i="34"/>
  <c r="U321" i="34"/>
  <c r="U317" i="34"/>
  <c r="U313" i="34"/>
  <c r="U500" i="34"/>
  <c r="U471" i="34"/>
  <c r="S144" i="60" l="1"/>
  <c r="S128" i="60"/>
  <c r="S124" i="60"/>
  <c r="S107" i="60"/>
  <c r="S106" i="60"/>
  <c r="S143" i="60"/>
  <c r="S140" i="60"/>
  <c r="S145" i="60"/>
  <c r="S109" i="60"/>
  <c r="S141" i="60"/>
  <c r="S139" i="60"/>
  <c r="S136" i="60"/>
  <c r="S133" i="60"/>
  <c r="S131" i="60"/>
  <c r="S117" i="60"/>
  <c r="S108" i="60"/>
  <c r="S129" i="60"/>
  <c r="S125" i="60"/>
  <c r="S113" i="60"/>
  <c r="S138" i="60"/>
  <c r="S132" i="60"/>
  <c r="S122" i="60"/>
  <c r="S121" i="60"/>
  <c r="S147" i="60"/>
  <c r="S137" i="60"/>
  <c r="S115" i="60"/>
  <c r="S130" i="60"/>
  <c r="S118" i="60"/>
  <c r="S98" i="60"/>
  <c r="S97" i="60"/>
  <c r="S86" i="60"/>
  <c r="S80" i="60"/>
  <c r="S62" i="60"/>
  <c r="S39" i="60"/>
  <c r="S142" i="60"/>
  <c r="S134" i="60"/>
  <c r="S116" i="60"/>
  <c r="S126" i="60"/>
  <c r="S120" i="60"/>
  <c r="S119" i="60"/>
  <c r="S135" i="60"/>
  <c r="S114" i="60"/>
  <c r="S111" i="60"/>
  <c r="S110" i="60"/>
  <c r="U110" i="60" s="1"/>
  <c r="S89" i="60" l="1"/>
  <c r="S88" i="60"/>
  <c r="S87" i="60"/>
  <c r="S28" i="60"/>
  <c r="S91" i="60"/>
  <c r="S90" i="60"/>
  <c r="S81" i="60"/>
  <c r="S40" i="60"/>
  <c r="S33" i="60"/>
  <c r="S35" i="60"/>
  <c r="S43" i="60"/>
  <c r="S42" i="60"/>
  <c r="S38" i="60"/>
  <c r="S23" i="60"/>
  <c r="S65" i="60"/>
  <c r="S34" i="60"/>
  <c r="S21" i="60"/>
  <c r="S41" i="60"/>
  <c r="S60" i="60"/>
  <c r="S71" i="60"/>
  <c r="S94" i="60"/>
  <c r="S67" i="60"/>
  <c r="S66" i="60"/>
  <c r="S92" i="60"/>
  <c r="S78" i="60"/>
  <c r="S63" i="60"/>
  <c r="S58" i="60"/>
  <c r="S57" i="60"/>
  <c r="S56" i="60"/>
  <c r="S48" i="60"/>
  <c r="S69" i="60"/>
  <c r="S68" i="60"/>
  <c r="S99" i="60"/>
  <c r="S95" i="60"/>
  <c r="S31" i="60"/>
  <c r="S32" i="60"/>
  <c r="S77" i="60"/>
  <c r="S76" i="60"/>
  <c r="S75" i="60"/>
  <c r="S46" i="60"/>
  <c r="S45" i="60"/>
  <c r="S26" i="60"/>
  <c r="S59" i="60"/>
  <c r="S37" i="60"/>
  <c r="S51" i="60"/>
  <c r="S74" i="60"/>
  <c r="S73" i="60"/>
  <c r="S61" i="60"/>
  <c r="S64" i="60"/>
  <c r="S53" i="60"/>
  <c r="S44" i="60"/>
  <c r="S30" i="60"/>
  <c r="S29" i="60"/>
  <c r="B53" i="34" l="1"/>
  <c r="U53" i="34" l="1"/>
  <c r="Z53" i="34"/>
  <c r="A53" i="34"/>
  <c r="F102" i="55"/>
  <c r="B144" i="34" l="1"/>
  <c r="B117" i="34"/>
  <c r="B98" i="34"/>
  <c r="B215" i="34"/>
  <c r="B254" i="34"/>
  <c r="I7" i="12"/>
  <c r="I8" i="12"/>
  <c r="I6" i="12"/>
  <c r="U215" i="34" l="1"/>
  <c r="Z215" i="34"/>
  <c r="A215" i="34"/>
  <c r="U254" i="34"/>
  <c r="Z254" i="34"/>
  <c r="R117" i="34"/>
  <c r="S117" i="34"/>
  <c r="T117" i="34"/>
  <c r="U117" i="34"/>
  <c r="Z117" i="34"/>
  <c r="A117" i="34"/>
  <c r="U98" i="34"/>
  <c r="Z98" i="34"/>
  <c r="R98" i="34"/>
  <c r="S98" i="34"/>
  <c r="T98" i="34"/>
  <c r="A98" i="34"/>
  <c r="S144" i="34"/>
  <c r="T144" i="34"/>
  <c r="U144" i="34"/>
  <c r="Z144" i="34"/>
  <c r="R144" i="34"/>
  <c r="A144" i="34"/>
  <c r="A254" i="34"/>
  <c r="O5" i="78"/>
  <c r="N5" i="78"/>
  <c r="B206" i="34"/>
  <c r="B201" i="34"/>
  <c r="B198" i="34"/>
  <c r="A206" i="34" l="1"/>
  <c r="U206" i="34"/>
  <c r="Z206" i="34"/>
  <c r="U201" i="34"/>
  <c r="Z201" i="34"/>
  <c r="A201" i="34"/>
  <c r="A198" i="34"/>
  <c r="U198" i="34"/>
  <c r="Z198" i="34"/>
  <c r="B264" i="34"/>
  <c r="B263" i="34"/>
  <c r="B262" i="34"/>
  <c r="B261" i="34"/>
  <c r="B260" i="34"/>
  <c r="B259" i="34"/>
  <c r="B251" i="34"/>
  <c r="B250" i="34"/>
  <c r="B249" i="34"/>
  <c r="B248" i="34"/>
  <c r="B247" i="34"/>
  <c r="B246" i="34"/>
  <c r="B245" i="34"/>
  <c r="B244" i="34"/>
  <c r="B240" i="34"/>
  <c r="B239" i="34"/>
  <c r="B238" i="34"/>
  <c r="B237" i="34"/>
  <c r="B236" i="34"/>
  <c r="B235" i="34"/>
  <c r="B234" i="34"/>
  <c r="B233" i="34"/>
  <c r="B232" i="34"/>
  <c r="B214" i="34"/>
  <c r="B213" i="34"/>
  <c r="B212" i="34"/>
  <c r="B211" i="34"/>
  <c r="B210" i="34"/>
  <c r="B209" i="34"/>
  <c r="B208" i="34"/>
  <c r="B207" i="34"/>
  <c r="B203" i="34"/>
  <c r="B202" i="34"/>
  <c r="B200" i="34"/>
  <c r="B199" i="34"/>
  <c r="B197" i="34"/>
  <c r="B196" i="34"/>
  <c r="B195" i="34"/>
  <c r="B293" i="34"/>
  <c r="B292" i="34"/>
  <c r="B291" i="34"/>
  <c r="B290" i="34"/>
  <c r="B289" i="34"/>
  <c r="B288" i="34"/>
  <c r="B287" i="34"/>
  <c r="B286" i="34"/>
  <c r="B285" i="34"/>
  <c r="B281" i="34"/>
  <c r="B280" i="34"/>
  <c r="B279" i="34"/>
  <c r="B278" i="34"/>
  <c r="B277" i="34"/>
  <c r="B276" i="34"/>
  <c r="B275" i="34"/>
  <c r="B274" i="34"/>
  <c r="B273" i="34"/>
  <c r="B267" i="34"/>
  <c r="B266" i="34"/>
  <c r="B265" i="34"/>
  <c r="U195" i="34" l="1"/>
  <c r="Z195" i="34"/>
  <c r="A195" i="34"/>
  <c r="A208" i="34"/>
  <c r="U208" i="34"/>
  <c r="Z208" i="34"/>
  <c r="A244" i="34"/>
  <c r="U244" i="34"/>
  <c r="Z244" i="34"/>
  <c r="U196" i="34"/>
  <c r="Z196" i="34"/>
  <c r="A196" i="34"/>
  <c r="U209" i="34"/>
  <c r="Z209" i="34"/>
  <c r="A209" i="34"/>
  <c r="A234" i="34"/>
  <c r="U234" i="34"/>
  <c r="Z234" i="34"/>
  <c r="U245" i="34"/>
  <c r="Z245" i="34"/>
  <c r="A245" i="34"/>
  <c r="U249" i="34"/>
  <c r="Z249" i="34"/>
  <c r="A249" i="34"/>
  <c r="U260" i="34"/>
  <c r="Z260" i="34"/>
  <c r="U264" i="34"/>
  <c r="Z264" i="34"/>
  <c r="U199" i="34"/>
  <c r="Z199" i="34"/>
  <c r="A199" i="34"/>
  <c r="U207" i="34"/>
  <c r="Z207" i="34"/>
  <c r="A207" i="34"/>
  <c r="U211" i="34"/>
  <c r="Z211" i="34"/>
  <c r="A211" i="34"/>
  <c r="A232" i="34"/>
  <c r="U232" i="34"/>
  <c r="Z232" i="34"/>
  <c r="U236" i="34"/>
  <c r="Z236" i="34"/>
  <c r="A236" i="34"/>
  <c r="U240" i="34"/>
  <c r="Z240" i="34"/>
  <c r="A240" i="34"/>
  <c r="U247" i="34"/>
  <c r="Z247" i="34"/>
  <c r="A247" i="34"/>
  <c r="U251" i="34"/>
  <c r="Z251" i="34"/>
  <c r="A251" i="34"/>
  <c r="U262" i="34"/>
  <c r="Z262" i="34"/>
  <c r="U233" i="34"/>
  <c r="Z233" i="34"/>
  <c r="A233" i="34"/>
  <c r="U259" i="34"/>
  <c r="Z259" i="34"/>
  <c r="U212" i="34"/>
  <c r="Z212" i="34"/>
  <c r="A212" i="34"/>
  <c r="U248" i="34"/>
  <c r="Z248" i="34"/>
  <c r="A248" i="34"/>
  <c r="U213" i="34"/>
  <c r="Z213" i="34"/>
  <c r="A213" i="34"/>
  <c r="U200" i="34"/>
  <c r="Z200" i="34"/>
  <c r="A200" i="34"/>
  <c r="U237" i="34"/>
  <c r="Z237" i="34"/>
  <c r="A237" i="34"/>
  <c r="U263" i="34"/>
  <c r="Z263" i="34"/>
  <c r="A202" i="34"/>
  <c r="U202" i="34"/>
  <c r="Z202" i="34"/>
  <c r="A238" i="34"/>
  <c r="U238" i="34"/>
  <c r="Z238" i="34"/>
  <c r="U197" i="34"/>
  <c r="Z197" i="34"/>
  <c r="A197" i="34"/>
  <c r="U203" i="34"/>
  <c r="Z203" i="34"/>
  <c r="A203" i="34"/>
  <c r="A210" i="34"/>
  <c r="U210" i="34"/>
  <c r="Z210" i="34"/>
  <c r="A214" i="34"/>
  <c r="U214" i="34"/>
  <c r="Z214" i="34"/>
  <c r="U235" i="34"/>
  <c r="Z235" i="34"/>
  <c r="A235" i="34"/>
  <c r="U239" i="34"/>
  <c r="Z239" i="34"/>
  <c r="A239" i="34"/>
  <c r="A246" i="34"/>
  <c r="U246" i="34"/>
  <c r="Z246" i="34"/>
  <c r="A250" i="34"/>
  <c r="U250" i="34"/>
  <c r="Z250" i="34"/>
  <c r="U261" i="34"/>
  <c r="Z261" i="34"/>
  <c r="Z265" i="34"/>
  <c r="U265" i="34"/>
  <c r="U274" i="34"/>
  <c r="Z274" i="34"/>
  <c r="U278" i="34"/>
  <c r="Z278" i="34"/>
  <c r="Z285" i="34"/>
  <c r="U285" i="34"/>
  <c r="Z289" i="34"/>
  <c r="U289" i="34"/>
  <c r="U266" i="34"/>
  <c r="Z266" i="34"/>
  <c r="U275" i="34"/>
  <c r="Z275" i="34"/>
  <c r="U286" i="34"/>
  <c r="Z286" i="34"/>
  <c r="U279" i="34"/>
  <c r="Z279" i="34"/>
  <c r="U290" i="34"/>
  <c r="Z290" i="34"/>
  <c r="U267" i="34"/>
  <c r="Z267" i="34"/>
  <c r="U276" i="34"/>
  <c r="Z276" i="34"/>
  <c r="U280" i="34"/>
  <c r="Z280" i="34"/>
  <c r="U287" i="34"/>
  <c r="Z287" i="34"/>
  <c r="U291" i="34"/>
  <c r="Z291" i="34"/>
  <c r="Z273" i="34"/>
  <c r="U273" i="34"/>
  <c r="Z277" i="34"/>
  <c r="U277" i="34"/>
  <c r="Z281" i="34"/>
  <c r="U281" i="34"/>
  <c r="Z288" i="34"/>
  <c r="U288" i="34"/>
  <c r="Z292" i="34"/>
  <c r="U292" i="34"/>
  <c r="A265" i="34"/>
  <c r="A274" i="34"/>
  <c r="A278" i="34"/>
  <c r="A285" i="34"/>
  <c r="A289" i="34"/>
  <c r="U293" i="34"/>
  <c r="Z293" i="34"/>
  <c r="A293" i="34"/>
  <c r="A262" i="34"/>
  <c r="A266" i="34"/>
  <c r="A275" i="34"/>
  <c r="A279" i="34"/>
  <c r="A286" i="34"/>
  <c r="A290" i="34"/>
  <c r="A259" i="34"/>
  <c r="A263" i="34"/>
  <c r="A267" i="34"/>
  <c r="A276" i="34"/>
  <c r="A280" i="34"/>
  <c r="A287" i="34"/>
  <c r="A291" i="34"/>
  <c r="A260" i="34"/>
  <c r="A264" i="34"/>
  <c r="A273" i="34"/>
  <c r="A277" i="34"/>
  <c r="A281" i="34"/>
  <c r="A288" i="34"/>
  <c r="A292" i="34"/>
  <c r="A261" i="34"/>
  <c r="U385" i="34"/>
  <c r="U396" i="34"/>
  <c r="R396" i="34"/>
  <c r="S396" i="34"/>
  <c r="T396" i="34"/>
  <c r="T329" i="34"/>
  <c r="U329" i="34"/>
  <c r="R329" i="34"/>
  <c r="S329" i="34"/>
  <c r="U386" i="34"/>
  <c r="U330" i="34"/>
  <c r="U327" i="34"/>
  <c r="U387" i="34"/>
  <c r="U328" i="34"/>
  <c r="U388" i="34"/>
  <c r="B78" i="34"/>
  <c r="B79" i="34"/>
  <c r="B178" i="34"/>
  <c r="Z21" i="60"/>
  <c r="Z20" i="60"/>
  <c r="A178" i="34" l="1"/>
  <c r="U178" i="34"/>
  <c r="Z178" i="34"/>
  <c r="T79" i="34"/>
  <c r="U79" i="34"/>
  <c r="Z79" i="34"/>
  <c r="R79" i="34"/>
  <c r="S79" i="34"/>
  <c r="A79" i="34"/>
  <c r="U78" i="34"/>
  <c r="Z78" i="34"/>
  <c r="R78" i="34"/>
  <c r="S78" i="34"/>
  <c r="T78" i="34"/>
  <c r="A78" i="34"/>
  <c r="U105" i="60"/>
  <c r="C105" i="60" s="1"/>
  <c r="U104" i="60"/>
  <c r="C104" i="60" s="1"/>
  <c r="U103" i="60"/>
  <c r="C103" i="60" s="1"/>
  <c r="U102" i="60"/>
  <c r="C102" i="60" s="1"/>
  <c r="U19" i="60"/>
  <c r="C19" i="60" s="1"/>
  <c r="U397" i="34" l="1"/>
  <c r="U54" i="60"/>
  <c r="C54" i="60" s="1"/>
  <c r="U49" i="60"/>
  <c r="C49" i="60" s="1"/>
  <c r="U50" i="60"/>
  <c r="C50" i="60" s="1"/>
  <c r="U51" i="60"/>
  <c r="C51" i="60" s="1"/>
  <c r="U52" i="60"/>
  <c r="C52" i="60" s="1"/>
  <c r="U53" i="60"/>
  <c r="C53" i="60" s="1"/>
  <c r="U55" i="60"/>
  <c r="C55" i="60" s="1"/>
  <c r="U57" i="60"/>
  <c r="C57" i="60" s="1"/>
  <c r="U58" i="60"/>
  <c r="C58" i="60" s="1"/>
  <c r="U59" i="60"/>
  <c r="C59" i="60" s="1"/>
  <c r="U60" i="60"/>
  <c r="C60" i="60" s="1"/>
  <c r="U61" i="60"/>
  <c r="C61" i="60" s="1"/>
  <c r="U56" i="60"/>
  <c r="C56" i="60" s="1"/>
  <c r="A18" i="60" l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C110" i="60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Z104" i="60"/>
  <c r="Z103" i="60"/>
  <c r="Z102" i="60"/>
  <c r="Z101" i="60"/>
  <c r="U101" i="60"/>
  <c r="C101" i="60" s="1"/>
  <c r="Z100" i="60"/>
  <c r="U100" i="60"/>
  <c r="C100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Z60" i="60"/>
  <c r="Z59" i="60"/>
  <c r="Z58" i="60"/>
  <c r="Z57" i="60"/>
  <c r="Z56" i="60"/>
  <c r="Z55" i="60"/>
  <c r="Z54" i="60"/>
  <c r="Z53" i="60"/>
  <c r="Z52" i="60"/>
  <c r="Z51" i="60"/>
  <c r="Z50" i="60"/>
  <c r="Z49" i="60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U21" i="60"/>
  <c r="C21" i="60" s="1"/>
  <c r="Z99" i="60"/>
  <c r="U99" i="60"/>
  <c r="C99" i="60" s="1"/>
  <c r="A19" i="60" l="1"/>
  <c r="A20" i="60" s="1"/>
  <c r="A21" i="60" s="1"/>
  <c r="A22" i="60" s="1"/>
  <c r="I18" i="54" l="1"/>
  <c r="B141" i="34"/>
  <c r="U141" i="34" l="1"/>
  <c r="Z141" i="34"/>
  <c r="A141" i="34"/>
  <c r="N11" i="34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B189" i="34" l="1"/>
  <c r="B188" i="34"/>
  <c r="U188" i="34" l="1"/>
  <c r="Z188" i="34"/>
  <c r="A188" i="34"/>
  <c r="U189" i="34"/>
  <c r="Z189" i="34"/>
  <c r="A189" i="34"/>
  <c r="B270" i="34"/>
  <c r="B190" i="34"/>
  <c r="D5" i="61"/>
  <c r="Z19" i="60"/>
  <c r="U20" i="60"/>
  <c r="C20" i="60" s="1"/>
  <c r="U93" i="60"/>
  <c r="C93" i="60" s="1"/>
  <c r="Z93" i="60"/>
  <c r="U94" i="60"/>
  <c r="C94" i="60" s="1"/>
  <c r="Z94" i="60"/>
  <c r="U95" i="60"/>
  <c r="C95" i="60" s="1"/>
  <c r="Z95" i="60"/>
  <c r="U96" i="60"/>
  <c r="C96" i="60" s="1"/>
  <c r="Z96" i="60"/>
  <c r="U97" i="60"/>
  <c r="C97" i="60" s="1"/>
  <c r="Z97" i="60"/>
  <c r="U98" i="60"/>
  <c r="C98" i="60" s="1"/>
  <c r="Z98" i="60"/>
  <c r="Z18" i="60"/>
  <c r="U18" i="60"/>
  <c r="C18" i="60" s="1"/>
  <c r="S10" i="60"/>
  <c r="U8" i="60"/>
  <c r="C8" i="60" s="1"/>
  <c r="Z8" i="60"/>
  <c r="Z7" i="60"/>
  <c r="U7" i="60"/>
  <c r="I9" i="70"/>
  <c r="I7" i="70"/>
  <c r="I14" i="70"/>
  <c r="I8" i="70"/>
  <c r="I17" i="70"/>
  <c r="I22" i="70"/>
  <c r="I12" i="61"/>
  <c r="G12" i="61"/>
  <c r="H12" i="61"/>
  <c r="F12" i="61"/>
  <c r="E12" i="61"/>
  <c r="D12" i="61"/>
  <c r="C12" i="61"/>
  <c r="A190" i="34" l="1"/>
  <c r="U190" i="34"/>
  <c r="Z190" i="34"/>
  <c r="U270" i="34"/>
  <c r="Z270" i="34"/>
  <c r="A270" i="34"/>
  <c r="U10" i="60"/>
  <c r="U149" i="60"/>
  <c r="C7" i="60"/>
  <c r="Z149" i="60"/>
  <c r="E149" i="60" s="1"/>
  <c r="Z10" i="60"/>
  <c r="E10" i="60" s="1"/>
  <c r="C40" i="15" l="1"/>
  <c r="C41" i="15" s="1"/>
  <c r="P14" i="64" l="1"/>
  <c r="Q3" i="56"/>
  <c r="P3" i="56"/>
  <c r="W33" i="34" l="1"/>
  <c r="W41" i="34"/>
  <c r="W49" i="34"/>
  <c r="W54" i="34"/>
  <c r="W56" i="34"/>
  <c r="W64" i="34"/>
  <c r="W68" i="34"/>
  <c r="W70" i="34"/>
  <c r="W72" i="34"/>
  <c r="W74" i="34"/>
  <c r="W76" i="34"/>
  <c r="W78" i="34"/>
  <c r="W80" i="34"/>
  <c r="W82" i="34"/>
  <c r="W84" i="34"/>
  <c r="W86" i="34"/>
  <c r="W88" i="34"/>
  <c r="W90" i="34"/>
  <c r="W92" i="34"/>
  <c r="W94" i="34"/>
  <c r="W96" i="34"/>
  <c r="W98" i="34"/>
  <c r="W100" i="34"/>
  <c r="W102" i="34"/>
  <c r="W104" i="34"/>
  <c r="W106" i="34"/>
  <c r="W108" i="34"/>
  <c r="W110" i="34"/>
  <c r="W112" i="34"/>
  <c r="W114" i="34"/>
  <c r="W116" i="34"/>
  <c r="W118" i="34"/>
  <c r="W120" i="34"/>
  <c r="W122" i="34"/>
  <c r="W128" i="34"/>
  <c r="W136" i="34"/>
  <c r="W138" i="34"/>
  <c r="W144" i="34"/>
  <c r="W154" i="34"/>
  <c r="W178" i="34"/>
  <c r="W188" i="34"/>
  <c r="W190" i="34"/>
  <c r="W194" i="34"/>
  <c r="W39" i="34"/>
  <c r="W47" i="34"/>
  <c r="W37" i="34"/>
  <c r="W45" i="34"/>
  <c r="W53" i="34"/>
  <c r="W55" i="34"/>
  <c r="W57" i="34"/>
  <c r="W63" i="34"/>
  <c r="W65" i="34"/>
  <c r="W67" i="34"/>
  <c r="W69" i="34"/>
  <c r="W71" i="34"/>
  <c r="W73" i="34"/>
  <c r="W75" i="34"/>
  <c r="W79" i="34"/>
  <c r="W81" i="34"/>
  <c r="W83" i="34"/>
  <c r="W85" i="34"/>
  <c r="W87" i="34"/>
  <c r="W89" i="34"/>
  <c r="W93" i="34"/>
  <c r="W95" i="34"/>
  <c r="W97" i="34"/>
  <c r="W99" i="34"/>
  <c r="W101" i="34"/>
  <c r="W103" i="34"/>
  <c r="W105" i="34"/>
  <c r="W107" i="34"/>
  <c r="W109" i="34"/>
  <c r="W111" i="34"/>
  <c r="W113" i="34"/>
  <c r="W115" i="34"/>
  <c r="W117" i="34"/>
  <c r="W119" i="34"/>
  <c r="W121" i="34"/>
  <c r="W127" i="34"/>
  <c r="W129" i="34"/>
  <c r="W133" i="34"/>
  <c r="W141" i="34"/>
  <c r="W189" i="34"/>
  <c r="W193" i="34"/>
  <c r="W195" i="34"/>
  <c r="W197" i="34"/>
  <c r="W199" i="34"/>
  <c r="W201" i="34"/>
  <c r="W203" i="34"/>
  <c r="W207" i="34"/>
  <c r="W209" i="34"/>
  <c r="W211" i="34"/>
  <c r="W213" i="34"/>
  <c r="W215" i="34"/>
  <c r="W51" i="34"/>
  <c r="W200" i="34"/>
  <c r="W208" i="34"/>
  <c r="W233" i="34"/>
  <c r="W235" i="34"/>
  <c r="W237" i="34"/>
  <c r="W239" i="34"/>
  <c r="W245" i="34"/>
  <c r="W247" i="34"/>
  <c r="W249" i="34"/>
  <c r="W251" i="34"/>
  <c r="W259" i="34"/>
  <c r="W261" i="34"/>
  <c r="W263" i="34"/>
  <c r="W238" i="34"/>
  <c r="W246" i="34"/>
  <c r="W250" i="34"/>
  <c r="W264" i="34"/>
  <c r="W198" i="34"/>
  <c r="W206" i="34"/>
  <c r="W214" i="34"/>
  <c r="W232" i="34"/>
  <c r="W236" i="34"/>
  <c r="W260" i="34"/>
  <c r="W35" i="34"/>
  <c r="W196" i="34"/>
  <c r="W212" i="34"/>
  <c r="W240" i="34"/>
  <c r="W248" i="34"/>
  <c r="W43" i="34"/>
  <c r="W202" i="34"/>
  <c r="W210" i="34"/>
  <c r="W234" i="34"/>
  <c r="W244" i="34"/>
  <c r="W254" i="34"/>
  <c r="W262" i="34"/>
  <c r="W46" i="34"/>
  <c r="W38" i="34"/>
  <c r="W30" i="34"/>
  <c r="W31" i="34"/>
  <c r="W44" i="34"/>
  <c r="W36" i="34"/>
  <c r="W28" i="34"/>
  <c r="W29" i="34"/>
  <c r="W50" i="34"/>
  <c r="W42" i="34"/>
  <c r="W34" i="34"/>
  <c r="W26" i="34"/>
  <c r="W48" i="34"/>
  <c r="W40" i="34"/>
  <c r="W312" i="34"/>
  <c r="W310" i="34"/>
  <c r="W463" i="34"/>
  <c r="W308" i="34"/>
  <c r="W305" i="34"/>
  <c r="W309" i="34"/>
  <c r="W311" i="34"/>
  <c r="W306" i="34"/>
  <c r="W437" i="34"/>
  <c r="W307" i="34"/>
  <c r="W448" i="34"/>
  <c r="W18" i="34"/>
  <c r="W14" i="34"/>
  <c r="W418" i="34"/>
  <c r="W363" i="34"/>
  <c r="W465" i="34"/>
  <c r="W494" i="34"/>
  <c r="W331" i="34"/>
  <c r="W415" i="34"/>
  <c r="W338" i="34"/>
  <c r="W466" i="34"/>
  <c r="W335" i="34"/>
  <c r="W402" i="34"/>
  <c r="W410" i="34"/>
  <c r="W398" i="34"/>
  <c r="W366" i="34"/>
  <c r="W407" i="34"/>
  <c r="W493" i="34"/>
  <c r="W399" i="34"/>
  <c r="W337" i="34"/>
  <c r="W404" i="34"/>
  <c r="W412" i="34"/>
  <c r="W364" i="34"/>
  <c r="W405" i="34"/>
  <c r="W413" i="34"/>
  <c r="W495" i="34"/>
  <c r="W332" i="34"/>
  <c r="W361" i="34"/>
  <c r="W462" i="34"/>
  <c r="W492" i="34"/>
  <c r="W340" i="34"/>
  <c r="W464" i="34"/>
  <c r="W367" i="34"/>
  <c r="W460" i="34"/>
  <c r="W469" i="34"/>
  <c r="W498" i="34"/>
  <c r="W334" i="34"/>
  <c r="W461" i="34"/>
  <c r="W339" i="34"/>
  <c r="W406" i="34"/>
  <c r="W414" i="34"/>
  <c r="W362" i="34"/>
  <c r="W403" i="34"/>
  <c r="W411" i="34"/>
  <c r="W497" i="34"/>
  <c r="W333" i="34"/>
  <c r="W341" i="34"/>
  <c r="W408" i="34"/>
  <c r="W417" i="34"/>
  <c r="W360" i="34"/>
  <c r="W368" i="34"/>
  <c r="W409" i="34"/>
  <c r="W491" i="34"/>
  <c r="W499" i="34"/>
  <c r="W416" i="34"/>
  <c r="W365" i="34"/>
  <c r="W467" i="34"/>
  <c r="W496" i="34"/>
  <c r="W336" i="34"/>
  <c r="W468" i="34"/>
  <c r="W444" i="34"/>
  <c r="W449" i="34"/>
  <c r="W453" i="34"/>
  <c r="W457" i="34"/>
  <c r="W443" i="34"/>
  <c r="W447" i="34"/>
  <c r="W452" i="34"/>
  <c r="W456" i="34"/>
  <c r="W351" i="34"/>
  <c r="W355" i="34"/>
  <c r="W359" i="34"/>
  <c r="W487" i="34"/>
  <c r="W515" i="34"/>
  <c r="W384" i="34"/>
  <c r="W436" i="34"/>
  <c r="W490" i="34"/>
  <c r="W354" i="34"/>
  <c r="W379" i="34"/>
  <c r="W485" i="34"/>
  <c r="W517" i="34"/>
  <c r="W434" i="34"/>
  <c r="W484" i="34"/>
  <c r="W488" i="34"/>
  <c r="W512" i="34"/>
  <c r="W516" i="34"/>
  <c r="W352" i="34"/>
  <c r="W356" i="34"/>
  <c r="W377" i="34"/>
  <c r="W381" i="34"/>
  <c r="W401" i="34"/>
  <c r="W483" i="34"/>
  <c r="W511" i="34"/>
  <c r="W380" i="34"/>
  <c r="W486" i="34"/>
  <c r="W518" i="34"/>
  <c r="W358" i="34"/>
  <c r="W383" i="34"/>
  <c r="W513" i="34"/>
  <c r="W382" i="34"/>
  <c r="W446" i="34"/>
  <c r="W451" i="34"/>
  <c r="W455" i="34"/>
  <c r="W459" i="34"/>
  <c r="W445" i="34"/>
  <c r="W450" i="34"/>
  <c r="W454" i="34"/>
  <c r="W458" i="34"/>
  <c r="W353" i="34"/>
  <c r="W357" i="34"/>
  <c r="W514" i="34"/>
  <c r="W435" i="34"/>
  <c r="W489" i="34"/>
  <c r="W378" i="34"/>
  <c r="W426" i="34"/>
  <c r="W371" i="34"/>
  <c r="W482" i="34"/>
  <c r="W510" i="34"/>
  <c r="W390" i="34"/>
  <c r="W474" i="34"/>
  <c r="W427" i="34"/>
  <c r="W342" i="34"/>
  <c r="W350" i="34"/>
  <c r="W319" i="34"/>
  <c r="W502" i="34"/>
  <c r="W343" i="34"/>
  <c r="W440" i="34"/>
  <c r="W322" i="34"/>
  <c r="W374" i="34"/>
  <c r="W423" i="34"/>
  <c r="W477" i="34"/>
  <c r="W505" i="34"/>
  <c r="W439" i="34"/>
  <c r="W391" i="34"/>
  <c r="W313" i="34"/>
  <c r="W471" i="34"/>
  <c r="W430" i="34"/>
  <c r="W478" i="34"/>
  <c r="W470" i="34"/>
  <c r="W347" i="34"/>
  <c r="W326" i="34"/>
  <c r="W481" i="34"/>
  <c r="W345" i="34"/>
  <c r="W420" i="34"/>
  <c r="W442" i="34"/>
  <c r="W320" i="34"/>
  <c r="W376" i="34"/>
  <c r="W425" i="34"/>
  <c r="W479" i="34"/>
  <c r="W507" i="34"/>
  <c r="W389" i="34"/>
  <c r="W428" i="34"/>
  <c r="W369" i="34"/>
  <c r="W400" i="34"/>
  <c r="W480" i="34"/>
  <c r="W508" i="34"/>
  <c r="W392" i="34"/>
  <c r="W314" i="34"/>
  <c r="W472" i="34"/>
  <c r="W433" i="34"/>
  <c r="W348" i="34"/>
  <c r="W321" i="34"/>
  <c r="W375" i="34"/>
  <c r="W506" i="34"/>
  <c r="W431" i="34"/>
  <c r="W473" i="34"/>
  <c r="W422" i="34"/>
  <c r="W501" i="34"/>
  <c r="W419" i="34"/>
  <c r="W395" i="34"/>
  <c r="W394" i="34"/>
  <c r="W349" i="34"/>
  <c r="W424" i="34"/>
  <c r="W324" i="34"/>
  <c r="W316" i="34"/>
  <c r="W372" i="34"/>
  <c r="W421" i="34"/>
  <c r="W475" i="34"/>
  <c r="W503" i="34"/>
  <c r="W393" i="34"/>
  <c r="W315" i="34"/>
  <c r="W432" i="34"/>
  <c r="W373" i="34"/>
  <c r="W476" i="34"/>
  <c r="W504" i="34"/>
  <c r="W438" i="34"/>
  <c r="W429" i="34"/>
  <c r="W344" i="34"/>
  <c r="W441" i="34"/>
  <c r="W325" i="34"/>
  <c r="W317" i="34"/>
  <c r="W500" i="34"/>
  <c r="W346" i="34"/>
  <c r="W323" i="34"/>
  <c r="W318" i="34"/>
  <c r="W370" i="34"/>
  <c r="W509" i="34"/>
  <c r="W278" i="34"/>
  <c r="W275" i="34"/>
  <c r="W267" i="34"/>
  <c r="W280" i="34"/>
  <c r="W281" i="34"/>
  <c r="W330" i="34"/>
  <c r="W387" i="34"/>
  <c r="W388" i="34"/>
  <c r="W289" i="34"/>
  <c r="W273" i="34"/>
  <c r="W265" i="34"/>
  <c r="W274" i="34"/>
  <c r="W266" i="34"/>
  <c r="W276" i="34"/>
  <c r="W277" i="34"/>
  <c r="W329" i="34"/>
  <c r="W279" i="34"/>
  <c r="W291" i="34"/>
  <c r="W288" i="34"/>
  <c r="W327" i="34"/>
  <c r="W285" i="34"/>
  <c r="W286" i="34"/>
  <c r="W290" i="34"/>
  <c r="W287" i="34"/>
  <c r="W292" i="34"/>
  <c r="W293" i="34"/>
  <c r="W385" i="34"/>
  <c r="W396" i="34"/>
  <c r="W328" i="34"/>
  <c r="W386" i="34"/>
  <c r="W397" i="34"/>
  <c r="W270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58" i="34" l="1"/>
  <c r="B52" i="34"/>
  <c r="S52" i="34" l="1"/>
  <c r="T52" i="34"/>
  <c r="U52" i="34"/>
  <c r="Z52" i="34"/>
  <c r="R52" i="34"/>
  <c r="A52" i="34"/>
  <c r="W52" i="34"/>
  <c r="U58" i="34"/>
  <c r="Z58" i="34"/>
  <c r="R58" i="34"/>
  <c r="S58" i="34"/>
  <c r="T58" i="34"/>
  <c r="A58" i="34"/>
  <c r="W58" i="34"/>
  <c r="A102" i="55"/>
  <c r="S10" i="34"/>
  <c r="A3" i="15" l="1"/>
  <c r="A2" i="15"/>
  <c r="N8" i="73"/>
  <c r="M8" i="73"/>
  <c r="A2" i="73"/>
  <c r="A1" i="73"/>
  <c r="Z14" i="34" l="1"/>
  <c r="Z367" i="34"/>
  <c r="Z408" i="34"/>
  <c r="Z469" i="34"/>
  <c r="Z334" i="34"/>
  <c r="Z409" i="34"/>
  <c r="Z461" i="34"/>
  <c r="Z491" i="34"/>
  <c r="Z414" i="34"/>
  <c r="Z467" i="34"/>
  <c r="Z492" i="34"/>
  <c r="Z398" i="34"/>
  <c r="Z362" i="34"/>
  <c r="Z407" i="34"/>
  <c r="Z468" i="34"/>
  <c r="Z497" i="34"/>
  <c r="Z418" i="34"/>
  <c r="Z341" i="34"/>
  <c r="Z363" i="34"/>
  <c r="Z404" i="34"/>
  <c r="Z465" i="34"/>
  <c r="Z498" i="34"/>
  <c r="Z331" i="34"/>
  <c r="Z415" i="34"/>
  <c r="Z368" i="34"/>
  <c r="Z405" i="34"/>
  <c r="Z339" i="34"/>
  <c r="Z410" i="34"/>
  <c r="Z462" i="34"/>
  <c r="Z403" i="34"/>
  <c r="Z464" i="34"/>
  <c r="Z493" i="34"/>
  <c r="Z337" i="34"/>
  <c r="Z460" i="34"/>
  <c r="Z494" i="34"/>
  <c r="Z417" i="34"/>
  <c r="Z364" i="34"/>
  <c r="Z499" i="34"/>
  <c r="Z332" i="34"/>
  <c r="Z416" i="34"/>
  <c r="Z335" i="34"/>
  <c r="Z365" i="34"/>
  <c r="Z406" i="34"/>
  <c r="Z340" i="34"/>
  <c r="Z399" i="34"/>
  <c r="Z333" i="34"/>
  <c r="Z412" i="34"/>
  <c r="Z338" i="34"/>
  <c r="Z360" i="34"/>
  <c r="Z413" i="34"/>
  <c r="Z466" i="34"/>
  <c r="Z495" i="34"/>
  <c r="Z361" i="34"/>
  <c r="Z402" i="34"/>
  <c r="Z496" i="34"/>
  <c r="Z336" i="34"/>
  <c r="Z366" i="34"/>
  <c r="Z411" i="34"/>
  <c r="Z488" i="34"/>
  <c r="Z490" i="34"/>
  <c r="Z516" i="34"/>
  <c r="Z518" i="34"/>
  <c r="Z352" i="34"/>
  <c r="Z358" i="34"/>
  <c r="Z485" i="34"/>
  <c r="Z487" i="34"/>
  <c r="Z513" i="34"/>
  <c r="Z515" i="34"/>
  <c r="Z446" i="34"/>
  <c r="Z449" i="34"/>
  <c r="Z455" i="34"/>
  <c r="Z457" i="34"/>
  <c r="Z377" i="34"/>
  <c r="Z379" i="34"/>
  <c r="Z401" i="34"/>
  <c r="Z435" i="34"/>
  <c r="Z443" i="34"/>
  <c r="Z445" i="34"/>
  <c r="Z452" i="34"/>
  <c r="Z454" i="34"/>
  <c r="Z353" i="34"/>
  <c r="Z355" i="34"/>
  <c r="Z382" i="34"/>
  <c r="Z384" i="34"/>
  <c r="Z484" i="34"/>
  <c r="Z486" i="34"/>
  <c r="Z512" i="34"/>
  <c r="Z514" i="34"/>
  <c r="Z354" i="34"/>
  <c r="Z356" i="34"/>
  <c r="Z483" i="34"/>
  <c r="Z489" i="34"/>
  <c r="Z511" i="34"/>
  <c r="Z517" i="34"/>
  <c r="Z444" i="34"/>
  <c r="Z451" i="34"/>
  <c r="Z453" i="34"/>
  <c r="Z459" i="34"/>
  <c r="Z381" i="34"/>
  <c r="Z383" i="34"/>
  <c r="Z447" i="34"/>
  <c r="Z450" i="34"/>
  <c r="Z456" i="34"/>
  <c r="Z458" i="34"/>
  <c r="Z351" i="34"/>
  <c r="Z357" i="34"/>
  <c r="Z359" i="34"/>
  <c r="Z378" i="34"/>
  <c r="Z380" i="34"/>
  <c r="Z434" i="34"/>
  <c r="Z436" i="34"/>
  <c r="Z426" i="34"/>
  <c r="Z375" i="34"/>
  <c r="Z424" i="34"/>
  <c r="Z442" i="34"/>
  <c r="Z478" i="34"/>
  <c r="Z316" i="34"/>
  <c r="Z346" i="34"/>
  <c r="Z507" i="34"/>
  <c r="Z393" i="34"/>
  <c r="Z432" i="34"/>
  <c r="Z343" i="34"/>
  <c r="Z373" i="34"/>
  <c r="Z422" i="34"/>
  <c r="Z476" i="34"/>
  <c r="Z438" i="34"/>
  <c r="Z322" i="34"/>
  <c r="Z501" i="34"/>
  <c r="Z429" i="34"/>
  <c r="Z344" i="34"/>
  <c r="Z374" i="34"/>
  <c r="Z477" i="34"/>
  <c r="Z439" i="34"/>
  <c r="Z395" i="34"/>
  <c r="Z321" i="34"/>
  <c r="Z500" i="34"/>
  <c r="Z349" i="34"/>
  <c r="Z371" i="34"/>
  <c r="Z420" i="34"/>
  <c r="Z510" i="34"/>
  <c r="Z320" i="34"/>
  <c r="Z342" i="34"/>
  <c r="Z425" i="34"/>
  <c r="Z503" i="34"/>
  <c r="Z315" i="34"/>
  <c r="Z428" i="34"/>
  <c r="Z369" i="34"/>
  <c r="Z508" i="34"/>
  <c r="Z326" i="34"/>
  <c r="Z314" i="34"/>
  <c r="Z472" i="34"/>
  <c r="Z370" i="34"/>
  <c r="Z423" i="34"/>
  <c r="Z509" i="34"/>
  <c r="Z325" i="34"/>
  <c r="Z345" i="34"/>
  <c r="Z506" i="34"/>
  <c r="Z390" i="34"/>
  <c r="Z324" i="34"/>
  <c r="Z470" i="34"/>
  <c r="Z431" i="34"/>
  <c r="Z376" i="34"/>
  <c r="Z421" i="34"/>
  <c r="Z479" i="34"/>
  <c r="Z319" i="34"/>
  <c r="Z400" i="34"/>
  <c r="Z440" i="34"/>
  <c r="Z504" i="34"/>
  <c r="Z419" i="34"/>
  <c r="Z441" i="34"/>
  <c r="Z505" i="34"/>
  <c r="Z471" i="34"/>
  <c r="Z430" i="34"/>
  <c r="Z482" i="34"/>
  <c r="Z394" i="34"/>
  <c r="Z474" i="34"/>
  <c r="Z427" i="34"/>
  <c r="Z350" i="34"/>
  <c r="Z372" i="34"/>
  <c r="Z475" i="34"/>
  <c r="Z389" i="34"/>
  <c r="Z323" i="34"/>
  <c r="Z502" i="34"/>
  <c r="Z473" i="34"/>
  <c r="Z347" i="34"/>
  <c r="Z480" i="34"/>
  <c r="Z392" i="34"/>
  <c r="Z318" i="34"/>
  <c r="Z433" i="34"/>
  <c r="Z348" i="34"/>
  <c r="Z481" i="34"/>
  <c r="Z391" i="34"/>
  <c r="Z317" i="34"/>
  <c r="Z313" i="34"/>
  <c r="Z396" i="34"/>
  <c r="Z386" i="34"/>
  <c r="Z328" i="34"/>
  <c r="Z385" i="34"/>
  <c r="Z387" i="34"/>
  <c r="Z329" i="34"/>
  <c r="Z327" i="34"/>
  <c r="Z330" i="34"/>
  <c r="Z388" i="34"/>
  <c r="Z397" i="34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303" i="34" l="1"/>
  <c r="B302" i="34"/>
  <c r="B301" i="34"/>
  <c r="B298" i="34"/>
  <c r="B271" i="34"/>
  <c r="B258" i="34"/>
  <c r="B272" i="34"/>
  <c r="B295" i="34"/>
  <c r="B296" i="34"/>
  <c r="B297" i="34"/>
  <c r="B299" i="34"/>
  <c r="B300" i="34"/>
  <c r="B304" i="34"/>
  <c r="I13" i="71"/>
  <c r="O11" i="42"/>
  <c r="N11" i="42"/>
  <c r="U258" i="34" l="1"/>
  <c r="Z258" i="34"/>
  <c r="W258" i="34"/>
  <c r="P26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63" i="34"/>
  <c r="Q65" i="34"/>
  <c r="O67" i="34"/>
  <c r="Q69" i="34"/>
  <c r="P70" i="34"/>
  <c r="O71" i="34"/>
  <c r="Q73" i="34"/>
  <c r="P74" i="34"/>
  <c r="O75" i="34"/>
  <c r="P78" i="34"/>
  <c r="O79" i="34"/>
  <c r="Q81" i="34"/>
  <c r="P82" i="34"/>
  <c r="O83" i="34"/>
  <c r="Q85" i="34"/>
  <c r="P86" i="34"/>
  <c r="O87" i="34"/>
  <c r="Q89" i="34"/>
  <c r="P90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7" i="34"/>
  <c r="P118" i="34"/>
  <c r="O119" i="34"/>
  <c r="Q121" i="34"/>
  <c r="P122" i="34"/>
  <c r="O127" i="34"/>
  <c r="Q129" i="34"/>
  <c r="Q26" i="34"/>
  <c r="O28" i="34"/>
  <c r="Q30" i="34"/>
  <c r="P31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63" i="34"/>
  <c r="O64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6" i="34"/>
  <c r="Q118" i="34"/>
  <c r="P119" i="34"/>
  <c r="O120" i="34"/>
  <c r="Q122" i="34"/>
  <c r="P127" i="34"/>
  <c r="O128" i="34"/>
  <c r="P28" i="34"/>
  <c r="O29" i="34"/>
  <c r="Q31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63" i="34"/>
  <c r="P64" i="34"/>
  <c r="O65" i="34"/>
  <c r="Q67" i="34"/>
  <c r="P68" i="34"/>
  <c r="O69" i="34"/>
  <c r="Q71" i="34"/>
  <c r="P72" i="34"/>
  <c r="O73" i="34"/>
  <c r="Q75" i="34"/>
  <c r="P76" i="34"/>
  <c r="Q79" i="34"/>
  <c r="P80" i="34"/>
  <c r="O81" i="34"/>
  <c r="Q83" i="34"/>
  <c r="P84" i="34"/>
  <c r="O85" i="34"/>
  <c r="Q87" i="34"/>
  <c r="P88" i="34"/>
  <c r="O89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6" i="34"/>
  <c r="O117" i="34"/>
  <c r="Q119" i="34"/>
  <c r="P120" i="34"/>
  <c r="O121" i="34"/>
  <c r="Q127" i="34"/>
  <c r="O26" i="34"/>
  <c r="Q28" i="34"/>
  <c r="P29" i="34"/>
  <c r="O30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4" i="34"/>
  <c r="P65" i="34"/>
  <c r="Q68" i="34"/>
  <c r="P69" i="34"/>
  <c r="O70" i="34"/>
  <c r="Q72" i="34"/>
  <c r="P73" i="34"/>
  <c r="O74" i="34"/>
  <c r="Q76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6" i="34"/>
  <c r="P117" i="34"/>
  <c r="O118" i="34"/>
  <c r="Q120" i="34"/>
  <c r="P121" i="34"/>
  <c r="O122" i="34"/>
  <c r="Q128" i="34"/>
  <c r="P129" i="34"/>
  <c r="P133" i="34"/>
  <c r="Q136" i="34"/>
  <c r="O129" i="34"/>
  <c r="P138" i="34"/>
  <c r="Q141" i="34"/>
  <c r="P154" i="34"/>
  <c r="P178" i="34"/>
  <c r="Q189" i="34"/>
  <c r="P190" i="34"/>
  <c r="Q193" i="34"/>
  <c r="P194" i="34"/>
  <c r="O195" i="34"/>
  <c r="Q197" i="34"/>
  <c r="P198" i="34"/>
  <c r="O199" i="34"/>
  <c r="Q201" i="34"/>
  <c r="P202" i="34"/>
  <c r="O203" i="34"/>
  <c r="P206" i="34"/>
  <c r="O207" i="34"/>
  <c r="Q209" i="34"/>
  <c r="P210" i="34"/>
  <c r="O211" i="34"/>
  <c r="Q213" i="34"/>
  <c r="P214" i="34"/>
  <c r="O215" i="34"/>
  <c r="Q233" i="34"/>
  <c r="P234" i="34"/>
  <c r="O235" i="34"/>
  <c r="Q237" i="34"/>
  <c r="P238" i="34"/>
  <c r="O239" i="34"/>
  <c r="Q245" i="34"/>
  <c r="P246" i="34"/>
  <c r="O247" i="34"/>
  <c r="P128" i="34"/>
  <c r="O133" i="34"/>
  <c r="Q138" i="34"/>
  <c r="O144" i="34"/>
  <c r="Q154" i="34"/>
  <c r="Q178" i="34"/>
  <c r="O188" i="34"/>
  <c r="Q190" i="34"/>
  <c r="Q194" i="34"/>
  <c r="P195" i="34"/>
  <c r="O196" i="34"/>
  <c r="Q198" i="34"/>
  <c r="P199" i="34"/>
  <c r="O200" i="34"/>
  <c r="Q202" i="34"/>
  <c r="P203" i="34"/>
  <c r="Q206" i="34"/>
  <c r="P207" i="34"/>
  <c r="O208" i="34"/>
  <c r="Q210" i="34"/>
  <c r="P211" i="34"/>
  <c r="O212" i="34"/>
  <c r="Q214" i="34"/>
  <c r="P215" i="34"/>
  <c r="O232" i="34"/>
  <c r="Q234" i="34"/>
  <c r="P235" i="34"/>
  <c r="O236" i="34"/>
  <c r="Q238" i="34"/>
  <c r="P239" i="34"/>
  <c r="O240" i="34"/>
  <c r="Q133" i="34"/>
  <c r="O136" i="34"/>
  <c r="O141" i="34"/>
  <c r="P144" i="34"/>
  <c r="P188" i="34"/>
  <c r="O189" i="34"/>
  <c r="O193" i="34"/>
  <c r="Q195" i="34"/>
  <c r="P196" i="34"/>
  <c r="O197" i="34"/>
  <c r="Q199" i="34"/>
  <c r="P200" i="34"/>
  <c r="O201" i="34"/>
  <c r="Q203" i="34"/>
  <c r="Q207" i="34"/>
  <c r="P208" i="34"/>
  <c r="O209" i="34"/>
  <c r="Q211" i="34"/>
  <c r="P212" i="34"/>
  <c r="O213" i="34"/>
  <c r="Q215" i="34"/>
  <c r="P232" i="34"/>
  <c r="O233" i="34"/>
  <c r="Q235" i="34"/>
  <c r="P236" i="34"/>
  <c r="O237" i="34"/>
  <c r="Q239" i="34"/>
  <c r="P240" i="34"/>
  <c r="P136" i="34"/>
  <c r="O138" i="34"/>
  <c r="P141" i="34"/>
  <c r="Q144" i="34"/>
  <c r="O154" i="34"/>
  <c r="O178" i="34"/>
  <c r="Q188" i="34"/>
  <c r="P189" i="34"/>
  <c r="O190" i="34"/>
  <c r="P193" i="34"/>
  <c r="O194" i="34"/>
  <c r="Q196" i="34"/>
  <c r="P197" i="34"/>
  <c r="O198" i="34"/>
  <c r="Q200" i="34"/>
  <c r="P201" i="34"/>
  <c r="O202" i="34"/>
  <c r="O206" i="34"/>
  <c r="Q208" i="34"/>
  <c r="P209" i="34"/>
  <c r="O210" i="34"/>
  <c r="Q212" i="34"/>
  <c r="P213" i="34"/>
  <c r="O214" i="34"/>
  <c r="Q232" i="34"/>
  <c r="P233" i="34"/>
  <c r="O234" i="34"/>
  <c r="Q236" i="34"/>
  <c r="P237" i="34"/>
  <c r="O238" i="34"/>
  <c r="Q240" i="34"/>
  <c r="Q244" i="34"/>
  <c r="P245" i="34"/>
  <c r="O246" i="34"/>
  <c r="Q248" i="34"/>
  <c r="P249" i="34"/>
  <c r="O250" i="34"/>
  <c r="O254" i="34"/>
  <c r="O258" i="34"/>
  <c r="Q260" i="34"/>
  <c r="P261" i="34"/>
  <c r="O262" i="34"/>
  <c r="Q264" i="34"/>
  <c r="Q246" i="34"/>
  <c r="P264" i="34"/>
  <c r="O244" i="34"/>
  <c r="O245" i="34"/>
  <c r="Q251" i="34"/>
  <c r="Q254" i="34"/>
  <c r="P258" i="34"/>
  <c r="O259" i="34"/>
  <c r="P244" i="34"/>
  <c r="Q258" i="34"/>
  <c r="P259" i="34"/>
  <c r="O260" i="34"/>
  <c r="O261" i="34"/>
  <c r="P262" i="34"/>
  <c r="O263" i="34"/>
  <c r="P247" i="34"/>
  <c r="O248" i="34"/>
  <c r="O249" i="34"/>
  <c r="P250" i="34"/>
  <c r="O251" i="34"/>
  <c r="Q259" i="34"/>
  <c r="P260" i="34"/>
  <c r="Q261" i="34"/>
  <c r="Q262" i="34"/>
  <c r="P263" i="34"/>
  <c r="O264" i="34"/>
  <c r="Q247" i="34"/>
  <c r="P248" i="34"/>
  <c r="Q249" i="34"/>
  <c r="Q250" i="34"/>
  <c r="P251" i="34"/>
  <c r="P254" i="34"/>
  <c r="Q263" i="34"/>
  <c r="Q265" i="34"/>
  <c r="Q278" i="34"/>
  <c r="P289" i="34"/>
  <c r="P275" i="34"/>
  <c r="O275" i="34"/>
  <c r="P286" i="34"/>
  <c r="P279" i="34"/>
  <c r="O279" i="34"/>
  <c r="P267" i="34"/>
  <c r="O267" i="34"/>
  <c r="P276" i="34"/>
  <c r="O280" i="34"/>
  <c r="O291" i="34"/>
  <c r="Q277" i="34"/>
  <c r="O288" i="34"/>
  <c r="P288" i="34"/>
  <c r="O285" i="34"/>
  <c r="Q266" i="34"/>
  <c r="Q286" i="34"/>
  <c r="P287" i="34"/>
  <c r="Q273" i="34"/>
  <c r="O265" i="34"/>
  <c r="O274" i="34"/>
  <c r="P278" i="34"/>
  <c r="Q289" i="34"/>
  <c r="O266" i="34"/>
  <c r="Q275" i="34"/>
  <c r="O286" i="34"/>
  <c r="Q279" i="34"/>
  <c r="O290" i="34"/>
  <c r="Q267" i="34"/>
  <c r="Q276" i="34"/>
  <c r="Q287" i="34"/>
  <c r="P273" i="34"/>
  <c r="O277" i="34"/>
  <c r="P281" i="34"/>
  <c r="Q288" i="34"/>
  <c r="Q290" i="34"/>
  <c r="P280" i="34"/>
  <c r="Q281" i="34"/>
  <c r="Q274" i="34"/>
  <c r="P265" i="34"/>
  <c r="P274" i="34"/>
  <c r="O278" i="34"/>
  <c r="Q285" i="34"/>
  <c r="P285" i="34"/>
  <c r="O289" i="34"/>
  <c r="P266" i="34"/>
  <c r="P290" i="34"/>
  <c r="Q280" i="34"/>
  <c r="O287" i="34"/>
  <c r="Q291" i="34"/>
  <c r="O273" i="34"/>
  <c r="P277" i="34"/>
  <c r="O281" i="34"/>
  <c r="Q292" i="34"/>
  <c r="P292" i="34"/>
  <c r="O276" i="34"/>
  <c r="P291" i="34"/>
  <c r="O292" i="34"/>
  <c r="Q270" i="34"/>
  <c r="O270" i="34"/>
  <c r="P270" i="34"/>
  <c r="O272" i="34"/>
  <c r="W272" i="34"/>
  <c r="P272" i="34"/>
  <c r="Q272" i="34"/>
  <c r="U272" i="34"/>
  <c r="Z272" i="34"/>
  <c r="P271" i="34"/>
  <c r="Q271" i="34"/>
  <c r="U271" i="34"/>
  <c r="Z271" i="34"/>
  <c r="O271" i="34"/>
  <c r="W271" i="34"/>
  <c r="O310" i="34"/>
  <c r="Q309" i="34"/>
  <c r="Q311" i="34"/>
  <c r="P307" i="34"/>
  <c r="Q308" i="34"/>
  <c r="Q306" i="34"/>
  <c r="P312" i="34"/>
  <c r="O305" i="34"/>
  <c r="Q437" i="34"/>
  <c r="O437" i="34"/>
  <c r="O463" i="34"/>
  <c r="Q463" i="34"/>
  <c r="O309" i="34"/>
  <c r="P309" i="34"/>
  <c r="P308" i="34"/>
  <c r="P306" i="34"/>
  <c r="P305" i="34"/>
  <c r="P437" i="34"/>
  <c r="Q448" i="34"/>
  <c r="P448" i="34"/>
  <c r="P310" i="34"/>
  <c r="Q310" i="34"/>
  <c r="O308" i="34"/>
  <c r="Q307" i="34"/>
  <c r="O312" i="34"/>
  <c r="Q305" i="34"/>
  <c r="P463" i="34"/>
  <c r="O311" i="34"/>
  <c r="P311" i="34"/>
  <c r="O307" i="34"/>
  <c r="O306" i="34"/>
  <c r="Q312" i="34"/>
  <c r="O448" i="34"/>
  <c r="Q18" i="34"/>
  <c r="O18" i="34"/>
  <c r="P18" i="34"/>
  <c r="Q293" i="34"/>
  <c r="P293" i="34"/>
  <c r="O293" i="34"/>
  <c r="Q299" i="34"/>
  <c r="U299" i="34"/>
  <c r="Z299" i="34"/>
  <c r="O299" i="34"/>
  <c r="P299" i="34"/>
  <c r="W299" i="34"/>
  <c r="A299" i="34"/>
  <c r="A272" i="34"/>
  <c r="Q301" i="34"/>
  <c r="U301" i="34"/>
  <c r="Z301" i="34"/>
  <c r="O301" i="34"/>
  <c r="P301" i="34"/>
  <c r="W301" i="34"/>
  <c r="A301" i="34"/>
  <c r="Q297" i="34"/>
  <c r="U297" i="34"/>
  <c r="Z297" i="34"/>
  <c r="O297" i="34"/>
  <c r="P297" i="34"/>
  <c r="W297" i="34"/>
  <c r="A297" i="34"/>
  <c r="A258" i="34"/>
  <c r="Q302" i="34"/>
  <c r="U302" i="34"/>
  <c r="Z302" i="34"/>
  <c r="P302" i="34"/>
  <c r="W302" i="34"/>
  <c r="O302" i="34"/>
  <c r="A302" i="34"/>
  <c r="Q296" i="34"/>
  <c r="U296" i="34"/>
  <c r="Z296" i="34"/>
  <c r="O296" i="34"/>
  <c r="P296" i="34"/>
  <c r="W296" i="34"/>
  <c r="A296" i="34"/>
  <c r="A271" i="34"/>
  <c r="Q303" i="34"/>
  <c r="U303" i="34"/>
  <c r="Z303" i="34"/>
  <c r="O303" i="34"/>
  <c r="P303" i="34"/>
  <c r="W303" i="34"/>
  <c r="A303" i="34"/>
  <c r="Q300" i="34"/>
  <c r="U300" i="34"/>
  <c r="Z300" i="34"/>
  <c r="O300" i="34"/>
  <c r="P300" i="34"/>
  <c r="W300" i="34"/>
  <c r="A300" i="34"/>
  <c r="Q295" i="34"/>
  <c r="U295" i="34"/>
  <c r="Z295" i="34"/>
  <c r="O295" i="34"/>
  <c r="P295" i="34"/>
  <c r="W295" i="34"/>
  <c r="A295" i="34"/>
  <c r="Q298" i="34"/>
  <c r="U298" i="34"/>
  <c r="Z298" i="34"/>
  <c r="P298" i="34"/>
  <c r="W298" i="34"/>
  <c r="O298" i="34"/>
  <c r="A298" i="34"/>
  <c r="O304" i="34"/>
  <c r="P304" i="34"/>
  <c r="Q304" i="34"/>
  <c r="U304" i="34"/>
  <c r="Z304" i="34"/>
  <c r="W304" i="34"/>
  <c r="A304" i="34"/>
  <c r="P14" i="34"/>
  <c r="Q14" i="34"/>
  <c r="O14" i="34"/>
  <c r="O418" i="34"/>
  <c r="P333" i="34"/>
  <c r="P341" i="34"/>
  <c r="P363" i="34"/>
  <c r="O367" i="34"/>
  <c r="O404" i="34"/>
  <c r="Q408" i="34"/>
  <c r="P408" i="34"/>
  <c r="O412" i="34"/>
  <c r="P460" i="34"/>
  <c r="O465" i="34"/>
  <c r="P469" i="34"/>
  <c r="O494" i="34"/>
  <c r="P498" i="34"/>
  <c r="P331" i="34"/>
  <c r="P415" i="34"/>
  <c r="P334" i="34"/>
  <c r="O338" i="34"/>
  <c r="O360" i="34"/>
  <c r="Q364" i="34"/>
  <c r="P364" i="34"/>
  <c r="O368" i="34"/>
  <c r="P405" i="34"/>
  <c r="P413" i="34"/>
  <c r="O461" i="34"/>
  <c r="P466" i="34"/>
  <c r="Q491" i="34"/>
  <c r="P491" i="34"/>
  <c r="O495" i="34"/>
  <c r="Q499" i="34"/>
  <c r="P499" i="34"/>
  <c r="Q332" i="34"/>
  <c r="P332" i="34"/>
  <c r="Q333" i="34"/>
  <c r="O337" i="34"/>
  <c r="Q341" i="34"/>
  <c r="Q363" i="34"/>
  <c r="Q460" i="34"/>
  <c r="Q469" i="34"/>
  <c r="Q498" i="34"/>
  <c r="Q331" i="34"/>
  <c r="O417" i="34"/>
  <c r="Q415" i="34"/>
  <c r="Q334" i="34"/>
  <c r="Q405" i="34"/>
  <c r="O409" i="34"/>
  <c r="Q413" i="34"/>
  <c r="Q466" i="34"/>
  <c r="Q339" i="34"/>
  <c r="Q361" i="34"/>
  <c r="O365" i="34"/>
  <c r="Q406" i="34"/>
  <c r="Q414" i="34"/>
  <c r="O492" i="34"/>
  <c r="Q496" i="34"/>
  <c r="Q398" i="34"/>
  <c r="P418" i="34"/>
  <c r="P337" i="34"/>
  <c r="O363" i="34"/>
  <c r="P367" i="34"/>
  <c r="Q404" i="34"/>
  <c r="P404" i="34"/>
  <c r="O408" i="34"/>
  <c r="Q412" i="34"/>
  <c r="P412" i="34"/>
  <c r="O460" i="34"/>
  <c r="P465" i="34"/>
  <c r="O469" i="34"/>
  <c r="P494" i="34"/>
  <c r="O498" i="34"/>
  <c r="O331" i="34"/>
  <c r="P417" i="34"/>
  <c r="O415" i="34"/>
  <c r="O334" i="34"/>
  <c r="P338" i="34"/>
  <c r="Q360" i="34"/>
  <c r="P360" i="34"/>
  <c r="O364" i="34"/>
  <c r="Q368" i="34"/>
  <c r="P368" i="34"/>
  <c r="P409" i="34"/>
  <c r="P461" i="34"/>
  <c r="O466" i="34"/>
  <c r="O491" i="34"/>
  <c r="Q495" i="34"/>
  <c r="P495" i="34"/>
  <c r="O499" i="34"/>
  <c r="O332" i="34"/>
  <c r="Q418" i="34"/>
  <c r="O333" i="34"/>
  <c r="Q337" i="34"/>
  <c r="O341" i="34"/>
  <c r="Q367" i="34"/>
  <c r="Q465" i="34"/>
  <c r="Q494" i="34"/>
  <c r="Q417" i="34"/>
  <c r="Q338" i="34"/>
  <c r="O405" i="34"/>
  <c r="Q409" i="34"/>
  <c r="O413" i="34"/>
  <c r="Q461" i="34"/>
  <c r="Q335" i="34"/>
  <c r="O361" i="34"/>
  <c r="Q365" i="34"/>
  <c r="Q402" i="34"/>
  <c r="Q410" i="34"/>
  <c r="Q492" i="34"/>
  <c r="O496" i="34"/>
  <c r="O339" i="34"/>
  <c r="P406" i="34"/>
  <c r="O414" i="34"/>
  <c r="O416" i="34"/>
  <c r="P335" i="34"/>
  <c r="P361" i="34"/>
  <c r="P365" i="34"/>
  <c r="O402" i="34"/>
  <c r="P410" i="34"/>
  <c r="Q462" i="34"/>
  <c r="P462" i="34"/>
  <c r="O467" i="34"/>
  <c r="P339" i="34"/>
  <c r="O406" i="34"/>
  <c r="P414" i="34"/>
  <c r="P398" i="34"/>
  <c r="Q416" i="34"/>
  <c r="P416" i="34"/>
  <c r="O335" i="34"/>
  <c r="P402" i="34"/>
  <c r="O410" i="34"/>
  <c r="O462" i="34"/>
  <c r="Q467" i="34"/>
  <c r="P467" i="34"/>
  <c r="O336" i="34"/>
  <c r="Q340" i="34"/>
  <c r="P340" i="34"/>
  <c r="P362" i="34"/>
  <c r="O366" i="34"/>
  <c r="P403" i="34"/>
  <c r="O407" i="34"/>
  <c r="P411" i="34"/>
  <c r="P464" i="34"/>
  <c r="O493" i="34"/>
  <c r="P497" i="34"/>
  <c r="O399" i="34"/>
  <c r="O398" i="34"/>
  <c r="P492" i="34"/>
  <c r="P407" i="34"/>
  <c r="O340" i="34"/>
  <c r="Q407" i="34"/>
  <c r="O464" i="34"/>
  <c r="Q468" i="34"/>
  <c r="Q497" i="34"/>
  <c r="P336" i="34"/>
  <c r="Q362" i="34"/>
  <c r="P366" i="34"/>
  <c r="O403" i="34"/>
  <c r="Q411" i="34"/>
  <c r="P399" i="34"/>
  <c r="Q336" i="34"/>
  <c r="Q366" i="34"/>
  <c r="Q464" i="34"/>
  <c r="O468" i="34"/>
  <c r="P493" i="34"/>
  <c r="O497" i="34"/>
  <c r="Q399" i="34"/>
  <c r="P496" i="34"/>
  <c r="O362" i="34"/>
  <c r="Q403" i="34"/>
  <c r="O411" i="34"/>
  <c r="P468" i="34"/>
  <c r="Q493" i="34"/>
  <c r="O446" i="34"/>
  <c r="O451" i="34"/>
  <c r="O455" i="34"/>
  <c r="O459" i="34"/>
  <c r="Q484" i="34"/>
  <c r="Q486" i="34"/>
  <c r="Q488" i="34"/>
  <c r="Q490" i="34"/>
  <c r="Q512" i="34"/>
  <c r="Q514" i="34"/>
  <c r="Q516" i="34"/>
  <c r="Q518" i="34"/>
  <c r="O377" i="34"/>
  <c r="O381" i="34"/>
  <c r="O401" i="34"/>
  <c r="P444" i="34"/>
  <c r="P446" i="34"/>
  <c r="P449" i="34"/>
  <c r="P451" i="34"/>
  <c r="P453" i="34"/>
  <c r="P455" i="34"/>
  <c r="P457" i="34"/>
  <c r="P459" i="34"/>
  <c r="O486" i="34"/>
  <c r="O490" i="34"/>
  <c r="O514" i="34"/>
  <c r="O518" i="34"/>
  <c r="Q352" i="34"/>
  <c r="P352" i="34"/>
  <c r="P354" i="34"/>
  <c r="Q356" i="34"/>
  <c r="P356" i="34"/>
  <c r="P358" i="34"/>
  <c r="P377" i="34"/>
  <c r="P379" i="34"/>
  <c r="P381" i="34"/>
  <c r="P383" i="34"/>
  <c r="P401" i="34"/>
  <c r="P435" i="34"/>
  <c r="Q444" i="34"/>
  <c r="Q446" i="34"/>
  <c r="Q449" i="34"/>
  <c r="Q451" i="34"/>
  <c r="Q453" i="34"/>
  <c r="Q455" i="34"/>
  <c r="Q457" i="34"/>
  <c r="Q459" i="34"/>
  <c r="O484" i="34"/>
  <c r="O488" i="34"/>
  <c r="O512" i="34"/>
  <c r="O516" i="34"/>
  <c r="Q354" i="34"/>
  <c r="Q358" i="34"/>
  <c r="Q377" i="34"/>
  <c r="Q379" i="34"/>
  <c r="Q381" i="34"/>
  <c r="Q383" i="34"/>
  <c r="Q401" i="34"/>
  <c r="Q435" i="34"/>
  <c r="O444" i="34"/>
  <c r="O449" i="34"/>
  <c r="O453" i="34"/>
  <c r="O457" i="34"/>
  <c r="P484" i="34"/>
  <c r="P486" i="34"/>
  <c r="P488" i="34"/>
  <c r="P490" i="34"/>
  <c r="P512" i="34"/>
  <c r="P514" i="34"/>
  <c r="P516" i="34"/>
  <c r="P518" i="34"/>
  <c r="O352" i="34"/>
  <c r="O354" i="34"/>
  <c r="O356" i="34"/>
  <c r="O358" i="34"/>
  <c r="O379" i="34"/>
  <c r="O383" i="34"/>
  <c r="O435" i="34"/>
  <c r="Q485" i="34"/>
  <c r="Q489" i="34"/>
  <c r="Q513" i="34"/>
  <c r="Q517" i="34"/>
  <c r="Q351" i="34"/>
  <c r="Q353" i="34"/>
  <c r="Q355" i="34"/>
  <c r="Q357" i="34"/>
  <c r="Q359" i="34"/>
  <c r="P443" i="34"/>
  <c r="Q445" i="34"/>
  <c r="P445" i="34"/>
  <c r="P447" i="34"/>
  <c r="Q450" i="34"/>
  <c r="P450" i="34"/>
  <c r="P452" i="34"/>
  <c r="Q454" i="34"/>
  <c r="P454" i="34"/>
  <c r="P456" i="34"/>
  <c r="Q458" i="34"/>
  <c r="P458" i="34"/>
  <c r="O483" i="34"/>
  <c r="O485" i="34"/>
  <c r="O487" i="34"/>
  <c r="O489" i="34"/>
  <c r="O511" i="34"/>
  <c r="O513" i="34"/>
  <c r="O515" i="34"/>
  <c r="O517" i="34"/>
  <c r="O351" i="34"/>
  <c r="Q443" i="34"/>
  <c r="Q447" i="34"/>
  <c r="Q452" i="34"/>
  <c r="Q456" i="34"/>
  <c r="O353" i="34"/>
  <c r="O357" i="34"/>
  <c r="Q378" i="34"/>
  <c r="Q382" i="34"/>
  <c r="Q434" i="34"/>
  <c r="O443" i="34"/>
  <c r="O445" i="34"/>
  <c r="O447" i="34"/>
  <c r="O450" i="34"/>
  <c r="O452" i="34"/>
  <c r="O454" i="34"/>
  <c r="O456" i="34"/>
  <c r="O458" i="34"/>
  <c r="Q483" i="34"/>
  <c r="P483" i="34"/>
  <c r="P485" i="34"/>
  <c r="Q487" i="34"/>
  <c r="P487" i="34"/>
  <c r="P489" i="34"/>
  <c r="Q511" i="34"/>
  <c r="P511" i="34"/>
  <c r="P513" i="34"/>
  <c r="Q515" i="34"/>
  <c r="P515" i="34"/>
  <c r="P517" i="34"/>
  <c r="P351" i="34"/>
  <c r="P353" i="34"/>
  <c r="P355" i="34"/>
  <c r="P357" i="34"/>
  <c r="P359" i="34"/>
  <c r="O378" i="34"/>
  <c r="O380" i="34"/>
  <c r="O382" i="34"/>
  <c r="O384" i="34"/>
  <c r="O434" i="34"/>
  <c r="O436" i="34"/>
  <c r="O359" i="34"/>
  <c r="Q380" i="34"/>
  <c r="P384" i="34"/>
  <c r="O355" i="34"/>
  <c r="P378" i="34"/>
  <c r="Q384" i="34"/>
  <c r="P436" i="34"/>
  <c r="P382" i="34"/>
  <c r="Q436" i="34"/>
  <c r="P380" i="34"/>
  <c r="P434" i="34"/>
  <c r="Q430" i="34"/>
  <c r="Q345" i="34"/>
  <c r="O349" i="34"/>
  <c r="Q375" i="34"/>
  <c r="Q442" i="34"/>
  <c r="Q478" i="34"/>
  <c r="Q506" i="34"/>
  <c r="Q394" i="34"/>
  <c r="Q470" i="34"/>
  <c r="Q431" i="34"/>
  <c r="Q342" i="34"/>
  <c r="Q350" i="34"/>
  <c r="Q421" i="34"/>
  <c r="O425" i="34"/>
  <c r="Q393" i="34"/>
  <c r="O389" i="34"/>
  <c r="Q319" i="34"/>
  <c r="Q473" i="34"/>
  <c r="P426" i="34"/>
  <c r="O430" i="34"/>
  <c r="P349" i="34"/>
  <c r="P371" i="34"/>
  <c r="O375" i="34"/>
  <c r="O420" i="34"/>
  <c r="Q424" i="34"/>
  <c r="P424" i="34"/>
  <c r="O478" i="34"/>
  <c r="P482" i="34"/>
  <c r="O506" i="34"/>
  <c r="P510" i="34"/>
  <c r="O394" i="34"/>
  <c r="P390" i="34"/>
  <c r="Q324" i="34"/>
  <c r="P324" i="34"/>
  <c r="O320" i="34"/>
  <c r="Q316" i="34"/>
  <c r="P316" i="34"/>
  <c r="P474" i="34"/>
  <c r="O470" i="34"/>
  <c r="P427" i="34"/>
  <c r="O431" i="34"/>
  <c r="O342" i="34"/>
  <c r="P346" i="34"/>
  <c r="O350" i="34"/>
  <c r="O372" i="34"/>
  <c r="Q376" i="34"/>
  <c r="P376" i="34"/>
  <c r="P425" i="34"/>
  <c r="O475" i="34"/>
  <c r="Q479" i="34"/>
  <c r="P479" i="34"/>
  <c r="O503" i="34"/>
  <c r="Q507" i="34"/>
  <c r="P507" i="34"/>
  <c r="P389" i="34"/>
  <c r="P323" i="34"/>
  <c r="O319" i="34"/>
  <c r="P315" i="34"/>
  <c r="P502" i="34"/>
  <c r="O473" i="34"/>
  <c r="Q426" i="34"/>
  <c r="O345" i="34"/>
  <c r="Q349" i="34"/>
  <c r="Q371" i="34"/>
  <c r="O442" i="34"/>
  <c r="Q482" i="34"/>
  <c r="Q510" i="34"/>
  <c r="Q390" i="34"/>
  <c r="Q474" i="34"/>
  <c r="Q427" i="34"/>
  <c r="Q346" i="34"/>
  <c r="O421" i="34"/>
  <c r="Q425" i="34"/>
  <c r="O393" i="34"/>
  <c r="Q389" i="34"/>
  <c r="Q323" i="34"/>
  <c r="O315" i="34"/>
  <c r="Q502" i="34"/>
  <c r="O426" i="34"/>
  <c r="P430" i="34"/>
  <c r="P345" i="34"/>
  <c r="O371" i="34"/>
  <c r="P375" i="34"/>
  <c r="Q420" i="34"/>
  <c r="P420" i="34"/>
  <c r="O424" i="34"/>
  <c r="P442" i="34"/>
  <c r="P478" i="34"/>
  <c r="O482" i="34"/>
  <c r="P506" i="34"/>
  <c r="O510" i="34"/>
  <c r="P394" i="34"/>
  <c r="O390" i="34"/>
  <c r="O324" i="34"/>
  <c r="Q320" i="34"/>
  <c r="P320" i="34"/>
  <c r="O316" i="34"/>
  <c r="O474" i="34"/>
  <c r="P470" i="34"/>
  <c r="O427" i="34"/>
  <c r="P431" i="34"/>
  <c r="P342" i="34"/>
  <c r="O346" i="34"/>
  <c r="P350" i="34"/>
  <c r="Q372" i="34"/>
  <c r="P372" i="34"/>
  <c r="O376" i="34"/>
  <c r="P421" i="34"/>
  <c r="Q475" i="34"/>
  <c r="P475" i="34"/>
  <c r="O479" i="34"/>
  <c r="Q503" i="34"/>
  <c r="P503" i="34"/>
  <c r="O507" i="34"/>
  <c r="P393" i="34"/>
  <c r="O323" i="34"/>
  <c r="P319" i="34"/>
  <c r="Q315" i="34"/>
  <c r="O502" i="34"/>
  <c r="P473" i="34"/>
  <c r="Q428" i="34"/>
  <c r="P428" i="34"/>
  <c r="O432" i="34"/>
  <c r="P343" i="34"/>
  <c r="O347" i="34"/>
  <c r="P373" i="34"/>
  <c r="O400" i="34"/>
  <c r="O422" i="34"/>
  <c r="P440" i="34"/>
  <c r="P476" i="34"/>
  <c r="P504" i="34"/>
  <c r="P438" i="34"/>
  <c r="Q392" i="34"/>
  <c r="P392" i="34"/>
  <c r="P326" i="34"/>
  <c r="O322" i="34"/>
  <c r="P318" i="34"/>
  <c r="Q314" i="34"/>
  <c r="P314" i="34"/>
  <c r="O501" i="34"/>
  <c r="Q348" i="34"/>
  <c r="P370" i="34"/>
  <c r="P419" i="34"/>
  <c r="O477" i="34"/>
  <c r="O505" i="34"/>
  <c r="O439" i="34"/>
  <c r="O391" i="34"/>
  <c r="P313" i="34"/>
  <c r="O471" i="34"/>
  <c r="Q343" i="34"/>
  <c r="O369" i="34"/>
  <c r="Q373" i="34"/>
  <c r="Q440" i="34"/>
  <c r="Q476" i="34"/>
  <c r="O480" i="34"/>
  <c r="Q504" i="34"/>
  <c r="O508" i="34"/>
  <c r="Q438" i="34"/>
  <c r="Q326" i="34"/>
  <c r="Q318" i="34"/>
  <c r="O472" i="34"/>
  <c r="Q429" i="34"/>
  <c r="O433" i="34"/>
  <c r="Q370" i="34"/>
  <c r="Q419" i="34"/>
  <c r="Q481" i="34"/>
  <c r="Q509" i="34"/>
  <c r="Q395" i="34"/>
  <c r="O325" i="34"/>
  <c r="Q321" i="34"/>
  <c r="O317" i="34"/>
  <c r="Q500" i="34"/>
  <c r="O428" i="34"/>
  <c r="Q432" i="34"/>
  <c r="P432" i="34"/>
  <c r="O343" i="34"/>
  <c r="P347" i="34"/>
  <c r="P369" i="34"/>
  <c r="Q400" i="34"/>
  <c r="P400" i="34"/>
  <c r="P422" i="34"/>
  <c r="O440" i="34"/>
  <c r="P480" i="34"/>
  <c r="P508" i="34"/>
  <c r="O392" i="34"/>
  <c r="O326" i="34"/>
  <c r="P322" i="34"/>
  <c r="O318" i="34"/>
  <c r="P501" i="34"/>
  <c r="P472" i="34"/>
  <c r="P433" i="34"/>
  <c r="Q344" i="34"/>
  <c r="P344" i="34"/>
  <c r="O348" i="34"/>
  <c r="O370" i="34"/>
  <c r="P374" i="34"/>
  <c r="O419" i="34"/>
  <c r="P423" i="34"/>
  <c r="Q441" i="34"/>
  <c r="P441" i="34"/>
  <c r="P477" i="34"/>
  <c r="O481" i="34"/>
  <c r="P505" i="34"/>
  <c r="O509" i="34"/>
  <c r="P439" i="34"/>
  <c r="O395" i="34"/>
  <c r="P391" i="34"/>
  <c r="P325" i="34"/>
  <c r="P317" i="34"/>
  <c r="Q313" i="34"/>
  <c r="Q471" i="34"/>
  <c r="P471" i="34"/>
  <c r="Q347" i="34"/>
  <c r="Q369" i="34"/>
  <c r="O373" i="34"/>
  <c r="Q422" i="34"/>
  <c r="O476" i="34"/>
  <c r="Q480" i="34"/>
  <c r="O504" i="34"/>
  <c r="Q508" i="34"/>
  <c r="O438" i="34"/>
  <c r="Q322" i="34"/>
  <c r="O314" i="34"/>
  <c r="Q501" i="34"/>
  <c r="Q472" i="34"/>
  <c r="O429" i="34"/>
  <c r="Q433" i="34"/>
  <c r="Q374" i="34"/>
  <c r="Q423" i="34"/>
  <c r="Q477" i="34"/>
  <c r="Q505" i="34"/>
  <c r="Q439" i="34"/>
  <c r="Q391" i="34"/>
  <c r="Q325" i="34"/>
  <c r="O321" i="34"/>
  <c r="Q317" i="34"/>
  <c r="O500" i="34"/>
  <c r="P429" i="34"/>
  <c r="O344" i="34"/>
  <c r="P348" i="34"/>
  <c r="O374" i="34"/>
  <c r="O423" i="34"/>
  <c r="O441" i="34"/>
  <c r="P481" i="34"/>
  <c r="P509" i="34"/>
  <c r="P395" i="34"/>
  <c r="P321" i="34"/>
  <c r="O313" i="34"/>
  <c r="P500" i="34"/>
  <c r="O385" i="34"/>
  <c r="Q329" i="34"/>
  <c r="O330" i="34"/>
  <c r="O327" i="34"/>
  <c r="P387" i="34"/>
  <c r="Q328" i="34"/>
  <c r="P328" i="34"/>
  <c r="O388" i="34"/>
  <c r="P385" i="34"/>
  <c r="P396" i="34"/>
  <c r="P386" i="34"/>
  <c r="Q387" i="34"/>
  <c r="Q385" i="34"/>
  <c r="O396" i="34"/>
  <c r="P329" i="34"/>
  <c r="Q386" i="34"/>
  <c r="P330" i="34"/>
  <c r="P327" i="34"/>
  <c r="O387" i="34"/>
  <c r="O328" i="34"/>
  <c r="Q388" i="34"/>
  <c r="P388" i="34"/>
  <c r="Q396" i="34"/>
  <c r="O329" i="34"/>
  <c r="O386" i="34"/>
  <c r="Q330" i="34"/>
  <c r="Q327" i="34"/>
  <c r="O397" i="34"/>
  <c r="P397" i="34"/>
  <c r="Q397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3" i="70"/>
  <c r="C23" i="70"/>
  <c r="B224" i="34" l="1"/>
  <c r="B225" i="34"/>
  <c r="B226" i="34"/>
  <c r="B227" i="34"/>
  <c r="B228" i="34"/>
  <c r="B229" i="34"/>
  <c r="B216" i="34"/>
  <c r="B217" i="34"/>
  <c r="B255" i="34"/>
  <c r="B256" i="34"/>
  <c r="B257" i="34"/>
  <c r="U257" i="34" l="1"/>
  <c r="Z257" i="34"/>
  <c r="W257" i="34"/>
  <c r="O257" i="34"/>
  <c r="Q257" i="34"/>
  <c r="P257" i="34"/>
  <c r="A216" i="34"/>
  <c r="U216" i="34"/>
  <c r="Z216" i="34"/>
  <c r="W216" i="34"/>
  <c r="P216" i="34"/>
  <c r="Q216" i="34"/>
  <c r="O216" i="34"/>
  <c r="A226" i="34"/>
  <c r="U226" i="34"/>
  <c r="Z226" i="34"/>
  <c r="W226" i="34"/>
  <c r="Q226" i="34"/>
  <c r="O226" i="34"/>
  <c r="P226" i="34"/>
  <c r="U256" i="34"/>
  <c r="Z256" i="34"/>
  <c r="W256" i="34"/>
  <c r="Q256" i="34"/>
  <c r="O256" i="34"/>
  <c r="P256" i="34"/>
  <c r="U225" i="34"/>
  <c r="Z225" i="34"/>
  <c r="A225" i="34"/>
  <c r="W225" i="34"/>
  <c r="Q225" i="34"/>
  <c r="O225" i="34"/>
  <c r="P225" i="34"/>
  <c r="U255" i="34"/>
  <c r="Z255" i="34"/>
  <c r="W255" i="34"/>
  <c r="P255" i="34"/>
  <c r="Q255" i="34"/>
  <c r="O255" i="34"/>
  <c r="U228" i="34"/>
  <c r="Z228" i="34"/>
  <c r="A228" i="34"/>
  <c r="W228" i="34"/>
  <c r="P228" i="34"/>
  <c r="Q228" i="34"/>
  <c r="O228" i="34"/>
  <c r="U224" i="34"/>
  <c r="Z224" i="34"/>
  <c r="A224" i="34"/>
  <c r="W224" i="34"/>
  <c r="P224" i="34"/>
  <c r="Q224" i="34"/>
  <c r="O224" i="34"/>
  <c r="U217" i="34"/>
  <c r="Z217" i="34"/>
  <c r="A217" i="34"/>
  <c r="W217" i="34"/>
  <c r="O217" i="34"/>
  <c r="P217" i="34"/>
  <c r="Q217" i="34"/>
  <c r="U227" i="34"/>
  <c r="Z227" i="34"/>
  <c r="A227" i="34"/>
  <c r="W227" i="34"/>
  <c r="Q227" i="34"/>
  <c r="P227" i="34"/>
  <c r="O227" i="34"/>
  <c r="U229" i="34"/>
  <c r="Z229" i="34"/>
  <c r="A229" i="34"/>
  <c r="W229" i="34"/>
  <c r="Q229" i="34"/>
  <c r="O229" i="34"/>
  <c r="P229" i="34"/>
  <c r="A257" i="34"/>
  <c r="A256" i="34"/>
  <c r="A255" i="34"/>
  <c r="B183" i="34"/>
  <c r="B184" i="34"/>
  <c r="B185" i="34"/>
  <c r="B186" i="34"/>
  <c r="B187" i="34"/>
  <c r="B220" i="34"/>
  <c r="B221" i="34"/>
  <c r="B222" i="34"/>
  <c r="B223" i="34"/>
  <c r="B173" i="34"/>
  <c r="B174" i="34"/>
  <c r="B175" i="34"/>
  <c r="B176" i="34"/>
  <c r="B177" i="34"/>
  <c r="B179" i="34"/>
  <c r="B180" i="34"/>
  <c r="B181" i="34"/>
  <c r="B182" i="34"/>
  <c r="B172" i="34"/>
  <c r="B132" i="34"/>
  <c r="B171" i="34"/>
  <c r="B192" i="34"/>
  <c r="B191" i="34"/>
  <c r="B284" i="34"/>
  <c r="B269" i="34"/>
  <c r="B268" i="34"/>
  <c r="B243" i="34"/>
  <c r="B131" i="34"/>
  <c r="B158" i="34"/>
  <c r="B150" i="34"/>
  <c r="B142" i="34"/>
  <c r="B143" i="34"/>
  <c r="B160" i="34"/>
  <c r="B161" i="34"/>
  <c r="B148" i="34"/>
  <c r="B149" i="34"/>
  <c r="B145" i="34"/>
  <c r="B282" i="34"/>
  <c r="B283" i="34"/>
  <c r="B165" i="34"/>
  <c r="B166" i="34"/>
  <c r="B230" i="34"/>
  <c r="B231" i="34"/>
  <c r="B241" i="34"/>
  <c r="B242" i="34"/>
  <c r="B162" i="34"/>
  <c r="B125" i="34"/>
  <c r="B134" i="34"/>
  <c r="B124" i="34"/>
  <c r="B126" i="34"/>
  <c r="B61" i="34"/>
  <c r="B62" i="34"/>
  <c r="B66" i="34"/>
  <c r="B77" i="34"/>
  <c r="B59" i="34"/>
  <c r="B60" i="34"/>
  <c r="B137" i="34"/>
  <c r="B159" i="34"/>
  <c r="B139" i="34"/>
  <c r="B27" i="34"/>
  <c r="B32" i="34"/>
  <c r="B146" i="34"/>
  <c r="B157" i="34"/>
  <c r="B151" i="34"/>
  <c r="B152" i="34"/>
  <c r="B153" i="34"/>
  <c r="B130" i="34"/>
  <c r="B123" i="34"/>
  <c r="B140" i="34"/>
  <c r="B163" i="34"/>
  <c r="B164" i="34"/>
  <c r="B168" i="34"/>
  <c r="B169" i="34"/>
  <c r="B147" i="34"/>
  <c r="B155" i="34"/>
  <c r="B156" i="34"/>
  <c r="U163" i="34" l="1"/>
  <c r="Z163" i="34"/>
  <c r="A163" i="34"/>
  <c r="W163" i="34"/>
  <c r="Q163" i="34"/>
  <c r="P163" i="34"/>
  <c r="O163" i="34"/>
  <c r="U169" i="34"/>
  <c r="Z169" i="34"/>
  <c r="A169" i="34"/>
  <c r="W169" i="34"/>
  <c r="O169" i="34"/>
  <c r="P169" i="34"/>
  <c r="Q169" i="34"/>
  <c r="A168" i="34"/>
  <c r="U168" i="34"/>
  <c r="Z168" i="34"/>
  <c r="W168" i="34"/>
  <c r="P168" i="34"/>
  <c r="Q168" i="34"/>
  <c r="O168" i="34"/>
  <c r="U164" i="34"/>
  <c r="Z164" i="34"/>
  <c r="A164" i="34"/>
  <c r="W164" i="34"/>
  <c r="P164" i="34"/>
  <c r="Q164" i="34"/>
  <c r="O164" i="34"/>
  <c r="U231" i="34"/>
  <c r="Z231" i="34"/>
  <c r="A231" i="34"/>
  <c r="W231" i="34"/>
  <c r="P231" i="34"/>
  <c r="O231" i="34"/>
  <c r="Q231" i="34"/>
  <c r="U243" i="34"/>
  <c r="Z243" i="34"/>
  <c r="A243" i="34"/>
  <c r="W243" i="34"/>
  <c r="Q243" i="34"/>
  <c r="O243" i="34"/>
  <c r="P243" i="34"/>
  <c r="U191" i="34"/>
  <c r="Z191" i="34"/>
  <c r="A191" i="34"/>
  <c r="W191" i="34"/>
  <c r="O191" i="34"/>
  <c r="Q191" i="34"/>
  <c r="P191" i="34"/>
  <c r="U172" i="34"/>
  <c r="Z172" i="34"/>
  <c r="A172" i="34"/>
  <c r="W172" i="34"/>
  <c r="O172" i="34"/>
  <c r="P172" i="34"/>
  <c r="Q172" i="34"/>
  <c r="U179" i="34"/>
  <c r="Z179" i="34"/>
  <c r="A179" i="34"/>
  <c r="W179" i="34"/>
  <c r="Q179" i="34"/>
  <c r="P179" i="34"/>
  <c r="O179" i="34"/>
  <c r="A174" i="34"/>
  <c r="U174" i="34"/>
  <c r="Z174" i="34"/>
  <c r="W174" i="34"/>
  <c r="Q174" i="34"/>
  <c r="O174" i="34"/>
  <c r="P174" i="34"/>
  <c r="U221" i="34"/>
  <c r="Z221" i="34"/>
  <c r="A221" i="34"/>
  <c r="W221" i="34"/>
  <c r="O221" i="34"/>
  <c r="P221" i="34"/>
  <c r="Q221" i="34"/>
  <c r="U185" i="34"/>
  <c r="Z185" i="34"/>
  <c r="A185" i="34"/>
  <c r="W185" i="34"/>
  <c r="O185" i="34"/>
  <c r="P185" i="34"/>
  <c r="Q185" i="34"/>
  <c r="A162" i="34"/>
  <c r="U162" i="34"/>
  <c r="Z162" i="34"/>
  <c r="W162" i="34"/>
  <c r="Q162" i="34"/>
  <c r="O162" i="34"/>
  <c r="P162" i="34"/>
  <c r="A230" i="34"/>
  <c r="U230" i="34"/>
  <c r="Z230" i="34"/>
  <c r="W230" i="34"/>
  <c r="P230" i="34"/>
  <c r="Q230" i="34"/>
  <c r="O230" i="34"/>
  <c r="A192" i="34"/>
  <c r="U192" i="34"/>
  <c r="Z192" i="34"/>
  <c r="W192" i="34"/>
  <c r="P192" i="34"/>
  <c r="Q192" i="34"/>
  <c r="O192" i="34"/>
  <c r="A182" i="34"/>
  <c r="U182" i="34"/>
  <c r="Z182" i="34"/>
  <c r="W182" i="34"/>
  <c r="P182" i="34"/>
  <c r="Q182" i="34"/>
  <c r="O182" i="34"/>
  <c r="U177" i="34"/>
  <c r="Z177" i="34"/>
  <c r="A177" i="34"/>
  <c r="W177" i="34"/>
  <c r="Q177" i="34"/>
  <c r="O177" i="34"/>
  <c r="P177" i="34"/>
  <c r="U173" i="34"/>
  <c r="Z173" i="34"/>
  <c r="A173" i="34"/>
  <c r="W173" i="34"/>
  <c r="O173" i="34"/>
  <c r="P173" i="34"/>
  <c r="Q173" i="34"/>
  <c r="U220" i="34"/>
  <c r="Z220" i="34"/>
  <c r="A220" i="34"/>
  <c r="W220" i="34"/>
  <c r="O220" i="34"/>
  <c r="P220" i="34"/>
  <c r="Q220" i="34"/>
  <c r="U184" i="34"/>
  <c r="Z184" i="34"/>
  <c r="A184" i="34"/>
  <c r="W184" i="34"/>
  <c r="P184" i="34"/>
  <c r="Q184" i="34"/>
  <c r="O184" i="34"/>
  <c r="A242" i="34"/>
  <c r="U242" i="34"/>
  <c r="Z242" i="34"/>
  <c r="W242" i="34"/>
  <c r="O242" i="34"/>
  <c r="P242" i="34"/>
  <c r="Q242" i="34"/>
  <c r="A166" i="34"/>
  <c r="U166" i="34"/>
  <c r="Z166" i="34"/>
  <c r="W166" i="34"/>
  <c r="P166" i="34"/>
  <c r="Q166" i="34"/>
  <c r="O166" i="34"/>
  <c r="U171" i="34"/>
  <c r="Z171" i="34"/>
  <c r="A171" i="34"/>
  <c r="W171" i="34"/>
  <c r="O171" i="34"/>
  <c r="Q171" i="34"/>
  <c r="P171" i="34"/>
  <c r="U181" i="34"/>
  <c r="Z181" i="34"/>
  <c r="A181" i="34"/>
  <c r="W181" i="34"/>
  <c r="Q181" i="34"/>
  <c r="O181" i="34"/>
  <c r="P181" i="34"/>
  <c r="U176" i="34"/>
  <c r="Z176" i="34"/>
  <c r="A176" i="34"/>
  <c r="W176" i="34"/>
  <c r="P176" i="34"/>
  <c r="Q176" i="34"/>
  <c r="O176" i="34"/>
  <c r="U223" i="34"/>
  <c r="Z223" i="34"/>
  <c r="A223" i="34"/>
  <c r="W223" i="34"/>
  <c r="O223" i="34"/>
  <c r="Q223" i="34"/>
  <c r="P223" i="34"/>
  <c r="U187" i="34"/>
  <c r="Z187" i="34"/>
  <c r="A187" i="34"/>
  <c r="W187" i="34"/>
  <c r="O187" i="34"/>
  <c r="Q187" i="34"/>
  <c r="P187" i="34"/>
  <c r="U183" i="34"/>
  <c r="Z183" i="34"/>
  <c r="A183" i="34"/>
  <c r="W183" i="34"/>
  <c r="P183" i="34"/>
  <c r="O183" i="34"/>
  <c r="Q183" i="34"/>
  <c r="U241" i="34"/>
  <c r="Z241" i="34"/>
  <c r="A241" i="34"/>
  <c r="W241" i="34"/>
  <c r="Q241" i="34"/>
  <c r="P241" i="34"/>
  <c r="O241" i="34"/>
  <c r="U165" i="34"/>
  <c r="Z165" i="34"/>
  <c r="A165" i="34"/>
  <c r="W165" i="34"/>
  <c r="Q165" i="34"/>
  <c r="O165" i="34"/>
  <c r="P165" i="34"/>
  <c r="A180" i="34"/>
  <c r="U180" i="34"/>
  <c r="Z180" i="34"/>
  <c r="W180" i="34"/>
  <c r="P180" i="34"/>
  <c r="Q180" i="34"/>
  <c r="O180" i="34"/>
  <c r="U175" i="34"/>
  <c r="Z175" i="34"/>
  <c r="A175" i="34"/>
  <c r="W175" i="34"/>
  <c r="O175" i="34"/>
  <c r="Q175" i="34"/>
  <c r="P175" i="34"/>
  <c r="A222" i="34"/>
  <c r="U222" i="34"/>
  <c r="Z222" i="34"/>
  <c r="W222" i="34"/>
  <c r="Q222" i="34"/>
  <c r="O222" i="34"/>
  <c r="P222" i="34"/>
  <c r="A186" i="34"/>
  <c r="U186" i="34"/>
  <c r="Z186" i="34"/>
  <c r="W186" i="34"/>
  <c r="P186" i="34"/>
  <c r="Q186" i="34"/>
  <c r="O186" i="34"/>
  <c r="U123" i="34"/>
  <c r="Z123" i="34"/>
  <c r="A123" i="34"/>
  <c r="W123" i="34"/>
  <c r="O123" i="34"/>
  <c r="P123" i="34"/>
  <c r="Q123" i="34"/>
  <c r="T27" i="34"/>
  <c r="U27" i="34"/>
  <c r="Z27" i="34"/>
  <c r="R27" i="34"/>
  <c r="S27" i="34"/>
  <c r="A27" i="34"/>
  <c r="W27" i="34"/>
  <c r="O27" i="34"/>
  <c r="P27" i="34"/>
  <c r="Q27" i="34"/>
  <c r="U134" i="34"/>
  <c r="Z134" i="34"/>
  <c r="R134" i="34"/>
  <c r="S134" i="34"/>
  <c r="T134" i="34"/>
  <c r="A134" i="34"/>
  <c r="W134" i="34"/>
  <c r="Q134" i="34"/>
  <c r="P134" i="34"/>
  <c r="O134" i="34"/>
  <c r="U143" i="34"/>
  <c r="Z143" i="34"/>
  <c r="A143" i="34"/>
  <c r="W143" i="34"/>
  <c r="O143" i="34"/>
  <c r="P143" i="34"/>
  <c r="Q143" i="34"/>
  <c r="U155" i="34"/>
  <c r="R155" i="34"/>
  <c r="S155" i="34"/>
  <c r="A155" i="34"/>
  <c r="T155" i="34"/>
  <c r="Z155" i="34"/>
  <c r="W155" i="34"/>
  <c r="P155" i="34"/>
  <c r="Q155" i="34"/>
  <c r="O155" i="34"/>
  <c r="U157" i="34"/>
  <c r="Z157" i="34"/>
  <c r="A157" i="34"/>
  <c r="W157" i="34"/>
  <c r="Q157" i="34"/>
  <c r="O157" i="34"/>
  <c r="P157" i="34"/>
  <c r="U139" i="34"/>
  <c r="Z139" i="34"/>
  <c r="A139" i="34"/>
  <c r="W139" i="34"/>
  <c r="P139" i="34"/>
  <c r="Q139" i="34"/>
  <c r="O139" i="34"/>
  <c r="R61" i="34"/>
  <c r="S61" i="34"/>
  <c r="T61" i="34"/>
  <c r="U61" i="34"/>
  <c r="Z61" i="34"/>
  <c r="A61" i="34"/>
  <c r="W61" i="34"/>
  <c r="O61" i="34"/>
  <c r="Q61" i="34"/>
  <c r="P61" i="34"/>
  <c r="U142" i="34"/>
  <c r="Z142" i="34"/>
  <c r="A142" i="34"/>
  <c r="W142" i="34"/>
  <c r="P142" i="34"/>
  <c r="Q142" i="34"/>
  <c r="O142" i="34"/>
  <c r="T147" i="34"/>
  <c r="U147" i="34"/>
  <c r="Z147" i="34"/>
  <c r="R147" i="34"/>
  <c r="S147" i="34"/>
  <c r="A147" i="34"/>
  <c r="W147" i="34"/>
  <c r="O147" i="34"/>
  <c r="P147" i="34"/>
  <c r="Q147" i="34"/>
  <c r="U153" i="34"/>
  <c r="Z153" i="34"/>
  <c r="A153" i="34"/>
  <c r="W153" i="34"/>
  <c r="Q153" i="34"/>
  <c r="O153" i="34"/>
  <c r="P153" i="34"/>
  <c r="U159" i="34"/>
  <c r="Z159" i="34"/>
  <c r="A159" i="34"/>
  <c r="W159" i="34"/>
  <c r="O159" i="34"/>
  <c r="P159" i="34"/>
  <c r="Q159" i="34"/>
  <c r="R77" i="34"/>
  <c r="S77" i="34"/>
  <c r="T77" i="34"/>
  <c r="U77" i="34"/>
  <c r="Z77" i="34"/>
  <c r="A77" i="34"/>
  <c r="W77" i="34"/>
  <c r="O77" i="34"/>
  <c r="Q77" i="34"/>
  <c r="P77" i="34"/>
  <c r="U150" i="34"/>
  <c r="Z150" i="34"/>
  <c r="A150" i="34"/>
  <c r="W150" i="34"/>
  <c r="Q150" i="34"/>
  <c r="O150" i="34"/>
  <c r="P150" i="34"/>
  <c r="U140" i="34"/>
  <c r="Z140" i="34"/>
  <c r="A140" i="34"/>
  <c r="W140" i="34"/>
  <c r="O140" i="34"/>
  <c r="P140" i="34"/>
  <c r="Q140" i="34"/>
  <c r="U152" i="34"/>
  <c r="Z152" i="34"/>
  <c r="A152" i="34"/>
  <c r="W152" i="34"/>
  <c r="O152" i="34"/>
  <c r="P152" i="34"/>
  <c r="Q152" i="34"/>
  <c r="S32" i="34"/>
  <c r="T32" i="34"/>
  <c r="U32" i="34"/>
  <c r="Z32" i="34"/>
  <c r="R32" i="34"/>
  <c r="A32" i="34"/>
  <c r="W32" i="34"/>
  <c r="Q32" i="34"/>
  <c r="O32" i="34"/>
  <c r="P32" i="34"/>
  <c r="U137" i="34"/>
  <c r="Z137" i="34"/>
  <c r="A137" i="34"/>
  <c r="W137" i="34"/>
  <c r="Q137" i="34"/>
  <c r="O137" i="34"/>
  <c r="P137" i="34"/>
  <c r="U66" i="34"/>
  <c r="Z66" i="34"/>
  <c r="R66" i="34"/>
  <c r="S66" i="34"/>
  <c r="T66" i="34"/>
  <c r="A66" i="34"/>
  <c r="W66" i="34"/>
  <c r="Q66" i="34"/>
  <c r="P66" i="34"/>
  <c r="O66" i="34"/>
  <c r="S124" i="34"/>
  <c r="T124" i="34"/>
  <c r="U124" i="34"/>
  <c r="Z124" i="34"/>
  <c r="R124" i="34"/>
  <c r="A124" i="34"/>
  <c r="W124" i="34"/>
  <c r="O124" i="34"/>
  <c r="P124" i="34"/>
  <c r="Q124" i="34"/>
  <c r="U145" i="34"/>
  <c r="Z145" i="34"/>
  <c r="A145" i="34"/>
  <c r="W145" i="34"/>
  <c r="O145" i="34"/>
  <c r="P145" i="34"/>
  <c r="Q145" i="34"/>
  <c r="A160" i="34"/>
  <c r="U160" i="34"/>
  <c r="Z160" i="34"/>
  <c r="W160" i="34"/>
  <c r="O160" i="34"/>
  <c r="P160" i="34"/>
  <c r="Q160" i="34"/>
  <c r="A158" i="34"/>
  <c r="U158" i="34"/>
  <c r="Z158" i="34"/>
  <c r="W158" i="34"/>
  <c r="P158" i="34"/>
  <c r="Q158" i="34"/>
  <c r="O158" i="34"/>
  <c r="U131" i="34"/>
  <c r="Z131" i="34"/>
  <c r="A131" i="34"/>
  <c r="W131" i="34"/>
  <c r="O131" i="34"/>
  <c r="Q131" i="34"/>
  <c r="P131" i="34"/>
  <c r="U62" i="34"/>
  <c r="Z62" i="34"/>
  <c r="R62" i="34"/>
  <c r="S62" i="34"/>
  <c r="T62" i="34"/>
  <c r="A62" i="34"/>
  <c r="W62" i="34"/>
  <c r="P62" i="34"/>
  <c r="O62" i="34"/>
  <c r="Q62" i="34"/>
  <c r="R156" i="34"/>
  <c r="S156" i="34"/>
  <c r="T156" i="34"/>
  <c r="A156" i="34"/>
  <c r="U156" i="34"/>
  <c r="Z156" i="34"/>
  <c r="W156" i="34"/>
  <c r="O156" i="34"/>
  <c r="P156" i="34"/>
  <c r="Q156" i="34"/>
  <c r="U151" i="34"/>
  <c r="Z151" i="34"/>
  <c r="A151" i="34"/>
  <c r="W151" i="34"/>
  <c r="O151" i="34"/>
  <c r="P151" i="34"/>
  <c r="Q151" i="34"/>
  <c r="S60" i="34"/>
  <c r="T60" i="34"/>
  <c r="U60" i="34"/>
  <c r="Z60" i="34"/>
  <c r="R60" i="34"/>
  <c r="A60" i="34"/>
  <c r="W60" i="34"/>
  <c r="O60" i="34"/>
  <c r="P60" i="34"/>
  <c r="Q60" i="34"/>
  <c r="U149" i="34"/>
  <c r="Z149" i="34"/>
  <c r="A149" i="34"/>
  <c r="W149" i="34"/>
  <c r="O149" i="34"/>
  <c r="P149" i="34"/>
  <c r="Q149" i="34"/>
  <c r="U132" i="34"/>
  <c r="Z132" i="34"/>
  <c r="A132" i="34"/>
  <c r="W132" i="34"/>
  <c r="Q132" i="34"/>
  <c r="P132" i="34"/>
  <c r="O132" i="34"/>
  <c r="U130" i="34"/>
  <c r="Z130" i="34"/>
  <c r="A130" i="34"/>
  <c r="W130" i="34"/>
  <c r="Q130" i="34"/>
  <c r="P130" i="34"/>
  <c r="O130" i="34"/>
  <c r="T59" i="34"/>
  <c r="U59" i="34"/>
  <c r="Z59" i="34"/>
  <c r="R59" i="34"/>
  <c r="S59" i="34"/>
  <c r="A59" i="34"/>
  <c r="W59" i="34"/>
  <c r="O59" i="34"/>
  <c r="P59" i="34"/>
  <c r="Q59" i="34"/>
  <c r="R125" i="34"/>
  <c r="S125" i="34"/>
  <c r="T125" i="34"/>
  <c r="U125" i="34"/>
  <c r="Z125" i="34"/>
  <c r="A125" i="34"/>
  <c r="W125" i="34"/>
  <c r="O125" i="34"/>
  <c r="Q125" i="34"/>
  <c r="P125" i="34"/>
  <c r="U148" i="34"/>
  <c r="Z148" i="34"/>
  <c r="A148" i="34"/>
  <c r="W148" i="34"/>
  <c r="O148" i="34"/>
  <c r="P148" i="34"/>
  <c r="Q148" i="34"/>
  <c r="U146" i="34"/>
  <c r="Z146" i="34"/>
  <c r="A146" i="34"/>
  <c r="W146" i="34"/>
  <c r="P146" i="34"/>
  <c r="Q146" i="34"/>
  <c r="O146" i="34"/>
  <c r="U126" i="34"/>
  <c r="Z126" i="34"/>
  <c r="R126" i="34"/>
  <c r="S126" i="34"/>
  <c r="T126" i="34"/>
  <c r="A126" i="34"/>
  <c r="W126" i="34"/>
  <c r="P126" i="34"/>
  <c r="O126" i="34"/>
  <c r="Q126" i="34"/>
  <c r="U161" i="34"/>
  <c r="Z161" i="34"/>
  <c r="A161" i="34"/>
  <c r="W161" i="34"/>
  <c r="O161" i="34"/>
  <c r="P161" i="34"/>
  <c r="Q161" i="34"/>
  <c r="Q282" i="34"/>
  <c r="U282" i="34"/>
  <c r="Z282" i="34"/>
  <c r="O282" i="34"/>
  <c r="P282" i="34"/>
  <c r="W282" i="34"/>
  <c r="O268" i="34"/>
  <c r="W268" i="34"/>
  <c r="P268" i="34"/>
  <c r="Q268" i="34"/>
  <c r="U268" i="34"/>
  <c r="Z268" i="34"/>
  <c r="Z269" i="34"/>
  <c r="O269" i="34"/>
  <c r="W269" i="34"/>
  <c r="P269" i="34"/>
  <c r="Q269" i="34"/>
  <c r="U269" i="34"/>
  <c r="O284" i="34"/>
  <c r="W284" i="34"/>
  <c r="P284" i="34"/>
  <c r="Z284" i="34"/>
  <c r="Q284" i="34"/>
  <c r="U284" i="34"/>
  <c r="P283" i="34"/>
  <c r="Q283" i="34"/>
  <c r="U283" i="34"/>
  <c r="O283" i="34"/>
  <c r="W283" i="34"/>
  <c r="Z283" i="34"/>
  <c r="A282" i="34"/>
  <c r="A268" i="34"/>
  <c r="A269" i="34"/>
  <c r="A284" i="34"/>
  <c r="A283" i="34"/>
  <c r="B252" i="34"/>
  <c r="B219" i="34"/>
  <c r="B218" i="34"/>
  <c r="B204" i="34"/>
  <c r="B205" i="34"/>
  <c r="B91" i="34"/>
  <c r="A218" i="34" l="1"/>
  <c r="U218" i="34"/>
  <c r="Z218" i="34"/>
  <c r="W218" i="34"/>
  <c r="P218" i="34"/>
  <c r="Q218" i="34"/>
  <c r="O218" i="34"/>
  <c r="U252" i="34"/>
  <c r="Z252" i="34"/>
  <c r="W252" i="34"/>
  <c r="O252" i="34"/>
  <c r="Q252" i="34"/>
  <c r="P252" i="34"/>
  <c r="U219" i="34"/>
  <c r="Z219" i="34"/>
  <c r="A219" i="34"/>
  <c r="W219" i="34"/>
  <c r="O219" i="34"/>
  <c r="Q219" i="34"/>
  <c r="P219" i="34"/>
  <c r="U205" i="34"/>
  <c r="Z205" i="34"/>
  <c r="A205" i="34"/>
  <c r="W205" i="34"/>
  <c r="O205" i="34"/>
  <c r="P205" i="34"/>
  <c r="Q205" i="34"/>
  <c r="U204" i="34"/>
  <c r="Z204" i="34"/>
  <c r="A204" i="34"/>
  <c r="W204" i="34"/>
  <c r="O204" i="34"/>
  <c r="P204" i="34"/>
  <c r="Q204" i="34"/>
  <c r="T91" i="34"/>
  <c r="U91" i="34"/>
  <c r="Z91" i="34"/>
  <c r="R91" i="34"/>
  <c r="S91" i="34"/>
  <c r="A91" i="34"/>
  <c r="W91" i="34"/>
  <c r="O91" i="34"/>
  <c r="P91" i="34"/>
  <c r="Q91" i="34"/>
  <c r="A252" i="34"/>
  <c r="A14" i="71"/>
  <c r="E37" i="71" s="1"/>
  <c r="A19" i="71"/>
  <c r="A20" i="71"/>
  <c r="A17" i="71"/>
  <c r="B253" i="34"/>
  <c r="A18" i="71"/>
  <c r="A16" i="71"/>
  <c r="A15" i="71"/>
  <c r="T10" i="34"/>
  <c r="U253" i="34" l="1"/>
  <c r="Z253" i="34"/>
  <c r="W253" i="34"/>
  <c r="P253" i="34"/>
  <c r="Q253" i="34"/>
  <c r="O253" i="34"/>
  <c r="A253" i="34"/>
  <c r="A36" i="71"/>
  <c r="H2" i="71"/>
  <c r="R10" i="34"/>
  <c r="E6" i="43" l="1"/>
  <c r="O8" i="43"/>
  <c r="N8" i="43"/>
  <c r="D13" i="15" l="1"/>
  <c r="C13" i="15"/>
  <c r="B167" i="34"/>
  <c r="B294" i="34"/>
  <c r="B135" i="34"/>
  <c r="U167" i="34" l="1"/>
  <c r="Z167" i="34"/>
  <c r="A167" i="34"/>
  <c r="W167" i="34"/>
  <c r="P167" i="34"/>
  <c r="O167" i="34"/>
  <c r="Q167" i="34"/>
  <c r="U135" i="34"/>
  <c r="Z135" i="34"/>
  <c r="A135" i="34"/>
  <c r="W135" i="34"/>
  <c r="P135" i="34"/>
  <c r="Q135" i="34"/>
  <c r="O135" i="34"/>
  <c r="Q294" i="34"/>
  <c r="U294" i="34"/>
  <c r="Z294" i="34"/>
  <c r="P294" i="34"/>
  <c r="W294" i="34"/>
  <c r="O294" i="34"/>
  <c r="A294" i="34"/>
  <c r="B170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A170" i="34" l="1"/>
  <c r="U170" i="34"/>
  <c r="Z170" i="34"/>
  <c r="W170" i="34"/>
  <c r="P170" i="34"/>
  <c r="Q170" i="34"/>
  <c r="O170" i="34"/>
  <c r="B25" i="34"/>
  <c r="B24" i="34"/>
  <c r="B23" i="34"/>
  <c r="A23" i="34" s="1"/>
  <c r="A24" i="34" l="1"/>
  <c r="U24" i="34"/>
  <c r="Z24" i="34"/>
  <c r="W24" i="34"/>
  <c r="O24" i="34"/>
  <c r="P24" i="34"/>
  <c r="Q24" i="34"/>
  <c r="U25" i="34"/>
  <c r="Z25" i="34"/>
  <c r="A25" i="34"/>
  <c r="W25" i="34"/>
  <c r="O25" i="34"/>
  <c r="P25" i="34"/>
  <c r="Q25" i="34"/>
  <c r="U23" i="34"/>
  <c r="Z23" i="34"/>
  <c r="P23" i="34"/>
  <c r="O23" i="34"/>
  <c r="Q23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A8" i="12" l="1"/>
  <c r="H11" i="43" l="1"/>
  <c r="A12" i="43"/>
  <c r="G35" i="43" s="1"/>
  <c r="F103" i="55"/>
  <c r="A7" i="60"/>
  <c r="A8" i="60" s="1"/>
  <c r="F2" i="43" l="1"/>
  <c r="A34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50" i="42" l="1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K29" i="77" l="1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2" i="15"/>
  <c r="D22" i="15"/>
  <c r="C45" i="15"/>
  <c r="C63" i="15" s="1"/>
  <c r="D45" i="15"/>
  <c r="F36" i="74" l="1"/>
  <c r="F37" i="74" s="1"/>
  <c r="G34" i="77"/>
  <c r="F33" i="77"/>
  <c r="F34" i="77" s="1"/>
  <c r="G28" i="78"/>
  <c r="G24" i="75"/>
  <c r="F23" i="75"/>
  <c r="F24" i="75" s="1"/>
  <c r="G37" i="74"/>
  <c r="D47" i="15"/>
  <c r="D63" i="15" s="1"/>
  <c r="G29" i="78" l="1"/>
  <c r="F28" i="78"/>
  <c r="F29" i="78" s="1"/>
  <c r="B11" i="61"/>
  <c r="L149" i="60"/>
  <c r="I18" i="60" s="1"/>
  <c r="J149" i="60"/>
  <c r="C149" i="60"/>
  <c r="L10" i="60"/>
  <c r="J10" i="60"/>
  <c r="C10" i="60"/>
  <c r="A31" i="58"/>
  <c r="I13" i="58"/>
  <c r="C8" i="58"/>
  <c r="A73" i="57"/>
  <c r="L13" i="57"/>
  <c r="K13" i="57"/>
  <c r="I7" i="57"/>
  <c r="C7" i="56"/>
  <c r="D5" i="56"/>
  <c r="E103" i="55"/>
  <c r="G102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V265" i="34" l="1"/>
  <c r="V269" i="34"/>
  <c r="V273" i="34"/>
  <c r="V277" i="34"/>
  <c r="V281" i="34"/>
  <c r="V285" i="34"/>
  <c r="V289" i="34"/>
  <c r="V266" i="34"/>
  <c r="V270" i="34"/>
  <c r="V274" i="34"/>
  <c r="V278" i="34"/>
  <c r="V282" i="34"/>
  <c r="V267" i="34"/>
  <c r="V271" i="34"/>
  <c r="V275" i="34"/>
  <c r="V279" i="34"/>
  <c r="V268" i="34"/>
  <c r="V272" i="34"/>
  <c r="V276" i="34"/>
  <c r="V280" i="34"/>
  <c r="V284" i="34"/>
  <c r="V288" i="34"/>
  <c r="V292" i="34"/>
  <c r="V283" i="34"/>
  <c r="V287" i="34"/>
  <c r="V290" i="34"/>
  <c r="V291" i="34"/>
  <c r="V286" i="34"/>
  <c r="V311" i="34"/>
  <c r="V310" i="34"/>
  <c r="V309" i="34"/>
  <c r="V306" i="34"/>
  <c r="V308" i="34"/>
  <c r="V307" i="34"/>
  <c r="V312" i="34"/>
  <c r="V305" i="34"/>
  <c r="V437" i="34"/>
  <c r="V463" i="34"/>
  <c r="V448" i="34"/>
  <c r="V293" i="34"/>
  <c r="V297" i="34"/>
  <c r="V301" i="34"/>
  <c r="V294" i="34"/>
  <c r="V298" i="34"/>
  <c r="V302" i="34"/>
  <c r="V295" i="34"/>
  <c r="V299" i="34"/>
  <c r="V303" i="34"/>
  <c r="V296" i="34"/>
  <c r="V300" i="34"/>
  <c r="V304" i="34"/>
  <c r="V18" i="34"/>
  <c r="V13" i="34"/>
  <c r="V14" i="34"/>
  <c r="V19" i="34"/>
  <c r="V23" i="34"/>
  <c r="V11" i="34"/>
  <c r="V15" i="34"/>
  <c r="V20" i="34"/>
  <c r="V12" i="34"/>
  <c r="V16" i="34"/>
  <c r="V21" i="34"/>
  <c r="V17" i="34"/>
  <c r="V22" i="34"/>
  <c r="V441" i="34"/>
  <c r="V445" i="34"/>
  <c r="V450" i="34"/>
  <c r="V454" i="34"/>
  <c r="V458" i="34"/>
  <c r="V462" i="34"/>
  <c r="V467" i="34"/>
  <c r="V471" i="34"/>
  <c r="V475" i="34"/>
  <c r="V479" i="34"/>
  <c r="V483" i="34"/>
  <c r="V487" i="34"/>
  <c r="V491" i="34"/>
  <c r="V495" i="34"/>
  <c r="V499" i="34"/>
  <c r="V503" i="34"/>
  <c r="V507" i="34"/>
  <c r="V511" i="34"/>
  <c r="V515" i="34"/>
  <c r="V440" i="34"/>
  <c r="V444" i="34"/>
  <c r="V449" i="34"/>
  <c r="V453" i="34"/>
  <c r="V457" i="34"/>
  <c r="V461" i="34"/>
  <c r="V466" i="34"/>
  <c r="V470" i="34"/>
  <c r="V474" i="34"/>
  <c r="V478" i="34"/>
  <c r="V482" i="34"/>
  <c r="V486" i="34"/>
  <c r="V490" i="34"/>
  <c r="V494" i="34"/>
  <c r="V498" i="34"/>
  <c r="V502" i="34"/>
  <c r="V506" i="34"/>
  <c r="V510" i="34"/>
  <c r="V514" i="34"/>
  <c r="V518" i="34"/>
  <c r="V439" i="34"/>
  <c r="V443" i="34"/>
  <c r="V447" i="34"/>
  <c r="V452" i="34"/>
  <c r="V456" i="34"/>
  <c r="V460" i="34"/>
  <c r="V465" i="34"/>
  <c r="V469" i="34"/>
  <c r="V473" i="34"/>
  <c r="V477" i="34"/>
  <c r="V481" i="34"/>
  <c r="V485" i="34"/>
  <c r="V489" i="34"/>
  <c r="V493" i="34"/>
  <c r="V497" i="34"/>
  <c r="V501" i="34"/>
  <c r="V505" i="34"/>
  <c r="V509" i="34"/>
  <c r="V513" i="34"/>
  <c r="V517" i="34"/>
  <c r="V438" i="34"/>
  <c r="V442" i="34"/>
  <c r="V446" i="34"/>
  <c r="V451" i="34"/>
  <c r="V455" i="34"/>
  <c r="V459" i="34"/>
  <c r="V464" i="34"/>
  <c r="V468" i="34"/>
  <c r="V472" i="34"/>
  <c r="V476" i="34"/>
  <c r="V480" i="34"/>
  <c r="V484" i="34"/>
  <c r="V488" i="34"/>
  <c r="V492" i="34"/>
  <c r="V496" i="34"/>
  <c r="V500" i="34"/>
  <c r="V504" i="34"/>
  <c r="V508" i="34"/>
  <c r="V512" i="34"/>
  <c r="V516" i="34"/>
  <c r="V316" i="34"/>
  <c r="V320" i="34"/>
  <c r="V324" i="34"/>
  <c r="V328" i="34"/>
  <c r="V329" i="34"/>
  <c r="V333" i="34"/>
  <c r="V337" i="34"/>
  <c r="V341" i="34"/>
  <c r="V345" i="34"/>
  <c r="V349" i="34"/>
  <c r="V353" i="34"/>
  <c r="V357" i="34"/>
  <c r="V361" i="34"/>
  <c r="V365" i="34"/>
  <c r="V369" i="34"/>
  <c r="V373" i="34"/>
  <c r="V377" i="34"/>
  <c r="V381" i="34"/>
  <c r="V385" i="34"/>
  <c r="V389" i="34"/>
  <c r="V393" i="34"/>
  <c r="V398" i="34"/>
  <c r="V402" i="34"/>
  <c r="V406" i="34"/>
  <c r="V410" i="34"/>
  <c r="V414" i="34"/>
  <c r="V418" i="34"/>
  <c r="V422" i="34"/>
  <c r="V426" i="34"/>
  <c r="V430" i="34"/>
  <c r="V434" i="34"/>
  <c r="V315" i="34"/>
  <c r="V319" i="34"/>
  <c r="V323" i="34"/>
  <c r="V327" i="34"/>
  <c r="V332" i="34"/>
  <c r="V336" i="34"/>
  <c r="V340" i="34"/>
  <c r="V344" i="34"/>
  <c r="V348" i="34"/>
  <c r="V352" i="34"/>
  <c r="V356" i="34"/>
  <c r="V360" i="34"/>
  <c r="V364" i="34"/>
  <c r="V368" i="34"/>
  <c r="V372" i="34"/>
  <c r="V376" i="34"/>
  <c r="V380" i="34"/>
  <c r="V384" i="34"/>
  <c r="V388" i="34"/>
  <c r="V392" i="34"/>
  <c r="V397" i="34"/>
  <c r="V401" i="34"/>
  <c r="V405" i="34"/>
  <c r="V409" i="34"/>
  <c r="V413" i="34"/>
  <c r="V417" i="34"/>
  <c r="V421" i="34"/>
  <c r="V425" i="34"/>
  <c r="V429" i="34"/>
  <c r="V433" i="34"/>
  <c r="V314" i="34"/>
  <c r="V318" i="34"/>
  <c r="V322" i="34"/>
  <c r="V326" i="34"/>
  <c r="V331" i="34"/>
  <c r="V335" i="34"/>
  <c r="V339" i="34"/>
  <c r="V343" i="34"/>
  <c r="V347" i="34"/>
  <c r="V351" i="34"/>
  <c r="V355" i="34"/>
  <c r="V359" i="34"/>
  <c r="V363" i="34"/>
  <c r="V367" i="34"/>
  <c r="V371" i="34"/>
  <c r="V375" i="34"/>
  <c r="V379" i="34"/>
  <c r="V383" i="34"/>
  <c r="V387" i="34"/>
  <c r="V391" i="34"/>
  <c r="V395" i="34"/>
  <c r="V396" i="34"/>
  <c r="V400" i="34"/>
  <c r="V404" i="34"/>
  <c r="V408" i="34"/>
  <c r="V412" i="34"/>
  <c r="V416" i="34"/>
  <c r="V420" i="34"/>
  <c r="V424" i="34"/>
  <c r="V428" i="34"/>
  <c r="V432" i="34"/>
  <c r="V436" i="34"/>
  <c r="V313" i="34"/>
  <c r="V317" i="34"/>
  <c r="V321" i="34"/>
  <c r="V325" i="34"/>
  <c r="V330" i="34"/>
  <c r="V334" i="34"/>
  <c r="V338" i="34"/>
  <c r="V342" i="34"/>
  <c r="V346" i="34"/>
  <c r="V350" i="34"/>
  <c r="V354" i="34"/>
  <c r="V358" i="34"/>
  <c r="V362" i="34"/>
  <c r="V366" i="34"/>
  <c r="V370" i="34"/>
  <c r="V374" i="34"/>
  <c r="V378" i="34"/>
  <c r="V382" i="34"/>
  <c r="V386" i="34"/>
  <c r="V390" i="34"/>
  <c r="V394" i="34"/>
  <c r="V399" i="34"/>
  <c r="V403" i="34"/>
  <c r="V407" i="34"/>
  <c r="V411" i="34"/>
  <c r="V415" i="34"/>
  <c r="V419" i="34"/>
  <c r="V423" i="34"/>
  <c r="V427" i="34"/>
  <c r="V431" i="34"/>
  <c r="V435" i="34"/>
  <c r="W12" i="34"/>
  <c r="W15" i="34"/>
  <c r="W17" i="34"/>
  <c r="W20" i="34"/>
  <c r="W22" i="34"/>
  <c r="W11" i="34"/>
  <c r="W16" i="34"/>
  <c r="W21" i="34"/>
  <c r="W13" i="34"/>
  <c r="W19" i="34"/>
  <c r="W23" i="34"/>
  <c r="A1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H48" i="57" s="1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I102" i="55"/>
  <c r="D146" i="60"/>
  <c r="H146" i="60"/>
  <c r="F147" i="60"/>
  <c r="D115" i="60"/>
  <c r="H115" i="60"/>
  <c r="F116" i="60"/>
  <c r="D117" i="60"/>
  <c r="H117" i="60"/>
  <c r="F118" i="60"/>
  <c r="D119" i="60"/>
  <c r="H119" i="60"/>
  <c r="F120" i="60"/>
  <c r="D121" i="60"/>
  <c r="H121" i="60"/>
  <c r="F122" i="60"/>
  <c r="D123" i="60"/>
  <c r="H123" i="60"/>
  <c r="F124" i="60"/>
  <c r="D125" i="60"/>
  <c r="H125" i="60"/>
  <c r="F126" i="60"/>
  <c r="D127" i="60"/>
  <c r="H127" i="60"/>
  <c r="F128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E146" i="60"/>
  <c r="I146" i="60"/>
  <c r="G147" i="60"/>
  <c r="E115" i="60"/>
  <c r="I115" i="60"/>
  <c r="G116" i="60"/>
  <c r="E117" i="60"/>
  <c r="I117" i="60"/>
  <c r="G118" i="60"/>
  <c r="E119" i="60"/>
  <c r="I119" i="60"/>
  <c r="G120" i="60"/>
  <c r="E121" i="60"/>
  <c r="I121" i="60"/>
  <c r="G122" i="60"/>
  <c r="E123" i="60"/>
  <c r="I123" i="60"/>
  <c r="G124" i="60"/>
  <c r="E125" i="60"/>
  <c r="I125" i="60"/>
  <c r="G126" i="60"/>
  <c r="E127" i="60"/>
  <c r="I127" i="60"/>
  <c r="G128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F146" i="60"/>
  <c r="D147" i="60"/>
  <c r="H147" i="60"/>
  <c r="F115" i="60"/>
  <c r="D116" i="60"/>
  <c r="H116" i="60"/>
  <c r="F117" i="60"/>
  <c r="D118" i="60"/>
  <c r="H118" i="60"/>
  <c r="F119" i="60"/>
  <c r="D120" i="60"/>
  <c r="H120" i="60"/>
  <c r="F121" i="60"/>
  <c r="D122" i="60"/>
  <c r="H122" i="60"/>
  <c r="F123" i="60"/>
  <c r="D124" i="60"/>
  <c r="H124" i="60"/>
  <c r="F125" i="60"/>
  <c r="D126" i="60"/>
  <c r="H126" i="60"/>
  <c r="F127" i="60"/>
  <c r="D128" i="60"/>
  <c r="H128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G146" i="60"/>
  <c r="E147" i="60"/>
  <c r="I147" i="60"/>
  <c r="G115" i="60"/>
  <c r="E116" i="60"/>
  <c r="I116" i="60"/>
  <c r="G117" i="60"/>
  <c r="E118" i="60"/>
  <c r="I118" i="60"/>
  <c r="G119" i="60"/>
  <c r="E120" i="60"/>
  <c r="I120" i="60"/>
  <c r="G121" i="60"/>
  <c r="E122" i="60"/>
  <c r="I122" i="60"/>
  <c r="G123" i="60"/>
  <c r="E124" i="60"/>
  <c r="I124" i="60"/>
  <c r="G125" i="60"/>
  <c r="E126" i="60"/>
  <c r="I126" i="60"/>
  <c r="G127" i="60"/>
  <c r="E128" i="60"/>
  <c r="I128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F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08" i="60"/>
  <c r="I108" i="60"/>
  <c r="G109" i="60"/>
  <c r="E110" i="60"/>
  <c r="I110" i="60"/>
  <c r="G111" i="60"/>
  <c r="E112" i="60"/>
  <c r="I112" i="60"/>
  <c r="G113" i="60"/>
  <c r="E114" i="60"/>
  <c r="I114" i="60"/>
  <c r="G55" i="60"/>
  <c r="E56" i="60"/>
  <c r="I56" i="60"/>
  <c r="G57" i="60"/>
  <c r="E58" i="60"/>
  <c r="I58" i="60"/>
  <c r="G59" i="60"/>
  <c r="E60" i="60"/>
  <c r="I60" i="60"/>
  <c r="G61" i="60"/>
  <c r="E62" i="60"/>
  <c r="I62" i="60"/>
  <c r="G63" i="60"/>
  <c r="E64" i="60"/>
  <c r="I64" i="60"/>
  <c r="G65" i="60"/>
  <c r="E66" i="60"/>
  <c r="I66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08" i="60"/>
  <c r="D109" i="60"/>
  <c r="H109" i="60"/>
  <c r="F110" i="60"/>
  <c r="D111" i="60"/>
  <c r="H111" i="60"/>
  <c r="F112" i="60"/>
  <c r="D113" i="60"/>
  <c r="H113" i="60"/>
  <c r="F114" i="60"/>
  <c r="D55" i="60"/>
  <c r="H55" i="60"/>
  <c r="F56" i="60"/>
  <c r="D57" i="60"/>
  <c r="H57" i="60"/>
  <c r="F58" i="60"/>
  <c r="D59" i="60"/>
  <c r="H59" i="60"/>
  <c r="F60" i="60"/>
  <c r="D61" i="60"/>
  <c r="H61" i="60"/>
  <c r="F62" i="60"/>
  <c r="D63" i="60"/>
  <c r="H63" i="60"/>
  <c r="F64" i="60"/>
  <c r="D65" i="60"/>
  <c r="H65" i="60"/>
  <c r="F66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08" i="60"/>
  <c r="E109" i="60"/>
  <c r="I109" i="60"/>
  <c r="G110" i="60"/>
  <c r="E111" i="60"/>
  <c r="I111" i="60"/>
  <c r="G112" i="60"/>
  <c r="E113" i="60"/>
  <c r="I113" i="60"/>
  <c r="G114" i="60"/>
  <c r="E55" i="60"/>
  <c r="I55" i="60"/>
  <c r="G56" i="60"/>
  <c r="E57" i="60"/>
  <c r="I57" i="60"/>
  <c r="G58" i="60"/>
  <c r="E59" i="60"/>
  <c r="I59" i="60"/>
  <c r="G60" i="60"/>
  <c r="E61" i="60"/>
  <c r="I61" i="60"/>
  <c r="G62" i="60"/>
  <c r="E63" i="60"/>
  <c r="I63" i="60"/>
  <c r="G64" i="60"/>
  <c r="E65" i="60"/>
  <c r="I65" i="60"/>
  <c r="G66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08" i="60"/>
  <c r="H108" i="60"/>
  <c r="F109" i="60"/>
  <c r="D110" i="60"/>
  <c r="H110" i="60"/>
  <c r="F111" i="60"/>
  <c r="D112" i="60"/>
  <c r="H112" i="60"/>
  <c r="F113" i="60"/>
  <c r="D114" i="60"/>
  <c r="H114" i="60"/>
  <c r="F55" i="60"/>
  <c r="D56" i="60"/>
  <c r="H56" i="60"/>
  <c r="F57" i="60"/>
  <c r="D58" i="60"/>
  <c r="H58" i="60"/>
  <c r="F59" i="60"/>
  <c r="D60" i="60"/>
  <c r="H60" i="60"/>
  <c r="F61" i="60"/>
  <c r="D62" i="60"/>
  <c r="H62" i="60"/>
  <c r="F63" i="60"/>
  <c r="D64" i="60"/>
  <c r="H64" i="60"/>
  <c r="F65" i="60"/>
  <c r="D66" i="60"/>
  <c r="H66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54" i="60"/>
  <c r="H54" i="60"/>
  <c r="F53" i="60"/>
  <c r="D50" i="60"/>
  <c r="H50" i="60"/>
  <c r="F51" i="60"/>
  <c r="D52" i="60"/>
  <c r="H52" i="60"/>
  <c r="F34" i="60"/>
  <c r="D35" i="60"/>
  <c r="H35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20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18" i="60"/>
  <c r="D19" i="60"/>
  <c r="H19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E54" i="60"/>
  <c r="I54" i="60"/>
  <c r="G53" i="60"/>
  <c r="E50" i="60"/>
  <c r="I50" i="60"/>
  <c r="G51" i="60"/>
  <c r="E52" i="60"/>
  <c r="I52" i="60"/>
  <c r="G34" i="60"/>
  <c r="E35" i="60"/>
  <c r="I35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20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18" i="60"/>
  <c r="E19" i="60"/>
  <c r="I19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F54" i="60"/>
  <c r="D53" i="60"/>
  <c r="H53" i="60"/>
  <c r="F50" i="60"/>
  <c r="D51" i="60"/>
  <c r="H51" i="60"/>
  <c r="F52" i="60"/>
  <c r="D34" i="60"/>
  <c r="H34" i="60"/>
  <c r="F35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20" i="60"/>
  <c r="H20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18" i="60"/>
  <c r="H18" i="60"/>
  <c r="F19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G54" i="60"/>
  <c r="E53" i="60"/>
  <c r="I53" i="60"/>
  <c r="G50" i="60"/>
  <c r="E51" i="60"/>
  <c r="I51" i="60"/>
  <c r="G52" i="60"/>
  <c r="E34" i="60"/>
  <c r="I34" i="60"/>
  <c r="G35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20" i="60"/>
  <c r="I20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18" i="60"/>
  <c r="G19" i="60"/>
  <c r="L14" i="54"/>
  <c r="L15" i="54" s="1"/>
  <c r="L16" i="54" s="1"/>
  <c r="L18" i="54"/>
  <c r="L19" i="54" s="1"/>
  <c r="D8" i="60"/>
  <c r="H8" i="60"/>
  <c r="G7" i="60"/>
  <c r="E8" i="60"/>
  <c r="I8" i="60"/>
  <c r="H7" i="60"/>
  <c r="F8" i="60"/>
  <c r="E7" i="60"/>
  <c r="I7" i="60"/>
  <c r="G8" i="60"/>
  <c r="F7" i="60"/>
  <c r="D7" i="60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Q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21" i="57"/>
  <c r="E18" i="57"/>
  <c r="E22" i="57"/>
  <c r="E19" i="57"/>
  <c r="E23" i="57"/>
  <c r="E14" i="57"/>
  <c r="E20" i="57"/>
  <c r="E24" i="57"/>
  <c r="E15" i="57"/>
  <c r="E16" i="57"/>
  <c r="V10" i="34"/>
  <c r="A30" i="47" s="1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3" i="61"/>
  <c r="I14" i="61" s="1"/>
  <c r="C13" i="61"/>
  <c r="C14" i="61" s="1"/>
  <c r="K520" i="34" l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K27" i="60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K102" i="55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K94" i="60"/>
  <c r="K86" i="60"/>
  <c r="M86" i="60" s="1"/>
  <c r="K28" i="60"/>
  <c r="M28" i="60" s="1"/>
  <c r="K20" i="60"/>
  <c r="M20" i="60" s="1"/>
  <c r="K42" i="60"/>
  <c r="K34" i="60"/>
  <c r="M34" i="60" s="1"/>
  <c r="K105" i="60"/>
  <c r="M105" i="60" s="1"/>
  <c r="K97" i="60"/>
  <c r="K78" i="60"/>
  <c r="K70" i="60"/>
  <c r="M70" i="60" s="1"/>
  <c r="K62" i="60"/>
  <c r="M62" i="60" s="1"/>
  <c r="K114" i="60"/>
  <c r="K144" i="60"/>
  <c r="M144" i="60" s="1"/>
  <c r="B24" i="56"/>
  <c r="F24" i="56"/>
  <c r="K33" i="60"/>
  <c r="M33" i="60" s="1"/>
  <c r="K25" i="60"/>
  <c r="M25" i="60" s="1"/>
  <c r="K47" i="60"/>
  <c r="M47" i="60" s="1"/>
  <c r="K39" i="60"/>
  <c r="M39" i="60" s="1"/>
  <c r="K50" i="60"/>
  <c r="M50" i="60" s="1"/>
  <c r="K102" i="60"/>
  <c r="M102" i="60" s="1"/>
  <c r="K95" i="60"/>
  <c r="M95" i="60" s="1"/>
  <c r="K87" i="60"/>
  <c r="M87" i="60" s="1"/>
  <c r="K79" i="60"/>
  <c r="M79" i="60" s="1"/>
  <c r="K71" i="60"/>
  <c r="M71" i="60" s="1"/>
  <c r="K63" i="60"/>
  <c r="M63" i="60" s="1"/>
  <c r="K55" i="60"/>
  <c r="M55" i="60" s="1"/>
  <c r="K145" i="60"/>
  <c r="M145" i="60" s="1"/>
  <c r="K130" i="60"/>
  <c r="M130" i="60" s="1"/>
  <c r="K122" i="60"/>
  <c r="M122" i="60" s="1"/>
  <c r="K131" i="60"/>
  <c r="M131" i="60" s="1"/>
  <c r="K123" i="60"/>
  <c r="M123" i="60" s="1"/>
  <c r="K115" i="60"/>
  <c r="M115" i="60" s="1"/>
  <c r="K30" i="60"/>
  <c r="M30" i="60" s="1"/>
  <c r="K22" i="60"/>
  <c r="M22" i="60" s="1"/>
  <c r="K44" i="60"/>
  <c r="M44" i="60" s="1"/>
  <c r="K36" i="60"/>
  <c r="M36" i="60" s="1"/>
  <c r="K107" i="60"/>
  <c r="M107" i="60" s="1"/>
  <c r="K99" i="60"/>
  <c r="M99" i="60" s="1"/>
  <c r="K19" i="60"/>
  <c r="M19" i="60" s="1"/>
  <c r="M27" i="60"/>
  <c r="K49" i="60"/>
  <c r="M49" i="60" s="1"/>
  <c r="K41" i="60"/>
  <c r="M41" i="60" s="1"/>
  <c r="K52" i="60"/>
  <c r="M52" i="60" s="1"/>
  <c r="K104" i="60"/>
  <c r="K96" i="60"/>
  <c r="M96" i="60" s="1"/>
  <c r="K88" i="60"/>
  <c r="M88" i="60" s="1"/>
  <c r="K80" i="60"/>
  <c r="M80" i="60" s="1"/>
  <c r="K72" i="60"/>
  <c r="M72" i="60" s="1"/>
  <c r="K64" i="60"/>
  <c r="M64" i="60" s="1"/>
  <c r="K56" i="60"/>
  <c r="M56" i="60" s="1"/>
  <c r="K108" i="60"/>
  <c r="M108" i="60" s="1"/>
  <c r="K138" i="60"/>
  <c r="M138" i="60" s="1"/>
  <c r="K89" i="60"/>
  <c r="M89" i="60" s="1"/>
  <c r="K81" i="60"/>
  <c r="M81" i="60" s="1"/>
  <c r="K73" i="60"/>
  <c r="M73" i="60" s="1"/>
  <c r="K65" i="60"/>
  <c r="M65" i="60" s="1"/>
  <c r="K57" i="60"/>
  <c r="M57" i="60" s="1"/>
  <c r="K109" i="60"/>
  <c r="M109" i="60" s="1"/>
  <c r="K139" i="60"/>
  <c r="M139" i="60" s="1"/>
  <c r="K132" i="60"/>
  <c r="M132" i="60" s="1"/>
  <c r="K124" i="60"/>
  <c r="M124" i="60" s="1"/>
  <c r="K116" i="60"/>
  <c r="M116" i="60" s="1"/>
  <c r="K133" i="60"/>
  <c r="M133" i="60" s="1"/>
  <c r="K125" i="60"/>
  <c r="M125" i="60" s="1"/>
  <c r="K117" i="60"/>
  <c r="M117" i="60" s="1"/>
  <c r="K32" i="60"/>
  <c r="M32" i="60" s="1"/>
  <c r="K24" i="60"/>
  <c r="M24" i="60" s="1"/>
  <c r="K46" i="60"/>
  <c r="M46" i="60" s="1"/>
  <c r="K38" i="60"/>
  <c r="M38" i="60" s="1"/>
  <c r="K53" i="60"/>
  <c r="M53" i="60" s="1"/>
  <c r="K101" i="60"/>
  <c r="M101" i="60" s="1"/>
  <c r="K29" i="60"/>
  <c r="K21" i="60"/>
  <c r="M21" i="60" s="1"/>
  <c r="K43" i="60"/>
  <c r="M43" i="60" s="1"/>
  <c r="K35" i="60"/>
  <c r="M35" i="60" s="1"/>
  <c r="K106" i="60"/>
  <c r="M106" i="60" s="1"/>
  <c r="K98" i="60"/>
  <c r="M98" i="60" s="1"/>
  <c r="K90" i="60"/>
  <c r="M90" i="60" s="1"/>
  <c r="K82" i="60"/>
  <c r="M82" i="60" s="1"/>
  <c r="K74" i="60"/>
  <c r="M74" i="60" s="1"/>
  <c r="K66" i="60"/>
  <c r="M66" i="60" s="1"/>
  <c r="K58" i="60"/>
  <c r="M58" i="60" s="1"/>
  <c r="K110" i="60"/>
  <c r="M110" i="60" s="1"/>
  <c r="K140" i="60"/>
  <c r="M140" i="60" s="1"/>
  <c r="K91" i="60"/>
  <c r="M91" i="60" s="1"/>
  <c r="K83" i="60"/>
  <c r="M83" i="60" s="1"/>
  <c r="K75" i="60"/>
  <c r="M75" i="60" s="1"/>
  <c r="K67" i="60"/>
  <c r="M67" i="60" s="1"/>
  <c r="K59" i="60"/>
  <c r="M59" i="60" s="1"/>
  <c r="K111" i="60"/>
  <c r="M111" i="60" s="1"/>
  <c r="K141" i="60"/>
  <c r="M141" i="60" s="1"/>
  <c r="K134" i="60"/>
  <c r="M134" i="60" s="1"/>
  <c r="K126" i="60"/>
  <c r="M126" i="60" s="1"/>
  <c r="K118" i="60"/>
  <c r="M118" i="60" s="1"/>
  <c r="K135" i="60"/>
  <c r="M135" i="60" s="1"/>
  <c r="K127" i="60"/>
  <c r="M127" i="60" s="1"/>
  <c r="K119" i="60"/>
  <c r="M119" i="60" s="1"/>
  <c r="K146" i="60"/>
  <c r="M146" i="60" s="1"/>
  <c r="K18" i="60"/>
  <c r="M18" i="60" s="1"/>
  <c r="K26" i="60"/>
  <c r="M26" i="60" s="1"/>
  <c r="K48" i="60"/>
  <c r="M48" i="60" s="1"/>
  <c r="K40" i="60"/>
  <c r="M40" i="60" s="1"/>
  <c r="K51" i="60"/>
  <c r="M51" i="60" s="1"/>
  <c r="K103" i="60"/>
  <c r="M103" i="60" s="1"/>
  <c r="K31" i="60"/>
  <c r="M31" i="60" s="1"/>
  <c r="K23" i="60"/>
  <c r="M23" i="60" s="1"/>
  <c r="K45" i="60"/>
  <c r="M45" i="60" s="1"/>
  <c r="K37" i="60"/>
  <c r="M37" i="60" s="1"/>
  <c r="K54" i="60"/>
  <c r="M54" i="60" s="1"/>
  <c r="K100" i="60"/>
  <c r="M100" i="60" s="1"/>
  <c r="K92" i="60"/>
  <c r="M92" i="60" s="1"/>
  <c r="K84" i="60"/>
  <c r="M84" i="60" s="1"/>
  <c r="K76" i="60"/>
  <c r="M76" i="60" s="1"/>
  <c r="K68" i="60"/>
  <c r="M68" i="60" s="1"/>
  <c r="K60" i="60"/>
  <c r="M60" i="60" s="1"/>
  <c r="K112" i="60"/>
  <c r="M112" i="60" s="1"/>
  <c r="K142" i="60"/>
  <c r="K93" i="60"/>
  <c r="M93" i="60" s="1"/>
  <c r="K85" i="60"/>
  <c r="M85" i="60" s="1"/>
  <c r="K77" i="60"/>
  <c r="M77" i="60" s="1"/>
  <c r="K69" i="60"/>
  <c r="M69" i="60" s="1"/>
  <c r="K61" i="60"/>
  <c r="M61" i="60" s="1"/>
  <c r="K113" i="60"/>
  <c r="M113" i="60" s="1"/>
  <c r="K143" i="60"/>
  <c r="M143" i="60" s="1"/>
  <c r="K136" i="60"/>
  <c r="M136" i="60" s="1"/>
  <c r="K128" i="60"/>
  <c r="M128" i="60" s="1"/>
  <c r="K120" i="60"/>
  <c r="M120" i="60" s="1"/>
  <c r="K147" i="60"/>
  <c r="M147" i="60" s="1"/>
  <c r="K137" i="60"/>
  <c r="M137" i="60" s="1"/>
  <c r="K129" i="60"/>
  <c r="M129" i="60" s="1"/>
  <c r="K121" i="60"/>
  <c r="M121" i="60" s="1"/>
  <c r="M78" i="60"/>
  <c r="M114" i="60"/>
  <c r="M42" i="60"/>
  <c r="M104" i="60"/>
  <c r="M142" i="60"/>
  <c r="M29" i="60"/>
  <c r="M9" i="39"/>
  <c r="M94" i="60"/>
  <c r="M97" i="60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3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J17" i="57"/>
  <c r="H23" i="57"/>
  <c r="H16" i="57"/>
  <c r="H18" i="57"/>
  <c r="B13" i="61"/>
  <c r="J20" i="55" l="1" a="1"/>
  <c r="J20" i="55" s="1"/>
  <c r="J55" i="55" a="1"/>
  <c r="J55" i="55" s="1"/>
  <c r="J54" i="55" a="1"/>
  <c r="J54" i="55" s="1"/>
  <c r="H77" i="55" a="1"/>
  <c r="H77" i="55" s="1"/>
  <c r="H38" i="55" a="1"/>
  <c r="H38" i="55" s="1"/>
  <c r="H27" i="55" a="1"/>
  <c r="H27" i="55" s="1"/>
  <c r="J16" i="55" a="1"/>
  <c r="J16" i="55" s="1"/>
  <c r="H30" i="55" a="1"/>
  <c r="H30" i="55" s="1"/>
  <c r="H65" i="55" a="1"/>
  <c r="H65" i="55" s="1"/>
  <c r="E51" i="15" a="1"/>
  <c r="E51" i="15" s="1"/>
  <c r="J79" i="55" a="1"/>
  <c r="J79" i="55" s="1"/>
  <c r="J91" i="55" a="1"/>
  <c r="J91" i="55" s="1"/>
  <c r="J92" i="55" a="1"/>
  <c r="J92" i="55" s="1"/>
  <c r="H35" i="55" a="1"/>
  <c r="H35" i="55" s="1"/>
  <c r="H75" i="55" a="1"/>
  <c r="H75" i="55" s="1"/>
  <c r="H87" i="55" a="1"/>
  <c r="H87" i="55" s="1"/>
  <c r="J12" i="55" a="1"/>
  <c r="J12" i="55" s="1"/>
  <c r="H76" i="55" a="1"/>
  <c r="H76" i="55" s="1"/>
  <c r="H29" i="55" a="1"/>
  <c r="H29" i="55" s="1"/>
  <c r="H86" i="55" a="1"/>
  <c r="H86" i="55" s="1"/>
  <c r="H44" i="55" a="1"/>
  <c r="H44" i="55" s="1"/>
  <c r="H88" i="55" a="1"/>
  <c r="H88" i="55" s="1"/>
  <c r="J31" i="55" a="1"/>
  <c r="J31" i="55" s="1"/>
  <c r="J44" i="55" a="1"/>
  <c r="J44" i="55" s="1"/>
  <c r="H91" i="55" a="1"/>
  <c r="H91" i="55" s="1"/>
  <c r="J100" i="55" a="1"/>
  <c r="J100" i="55" s="1"/>
  <c r="J66" i="55" a="1"/>
  <c r="J66" i="55" s="1"/>
  <c r="J43" i="55" a="1"/>
  <c r="J43" i="55" s="1"/>
  <c r="J72" i="55" a="1"/>
  <c r="J72" i="55" s="1"/>
  <c r="J88" i="55" a="1"/>
  <c r="J88" i="55" s="1"/>
  <c r="H70" i="55" a="1"/>
  <c r="H70" i="55" s="1"/>
  <c r="J17" i="55" a="1"/>
  <c r="J17" i="55" s="1"/>
  <c r="H63" i="55" a="1"/>
  <c r="H63" i="55" s="1"/>
  <c r="H66" i="55" a="1"/>
  <c r="H66" i="55" s="1"/>
  <c r="J23" i="55" a="1"/>
  <c r="J23" i="55" s="1"/>
  <c r="J73" i="55" a="1"/>
  <c r="J73" i="55" s="1"/>
  <c r="H39" i="55" a="1"/>
  <c r="H39" i="55" s="1"/>
  <c r="J89" i="55" a="1"/>
  <c r="J89" i="55" s="1"/>
  <c r="H16" i="55" a="1"/>
  <c r="H16" i="55" s="1"/>
  <c r="L16" i="55" s="1"/>
  <c r="H78" i="55" a="1"/>
  <c r="H78" i="55" s="1"/>
  <c r="H72" i="55" a="1"/>
  <c r="H72" i="55" s="1"/>
  <c r="H31" i="55" a="1"/>
  <c r="H31" i="55" s="1"/>
  <c r="J33" i="55" a="1"/>
  <c r="J33" i="55" s="1"/>
  <c r="J96" i="55" a="1"/>
  <c r="J96" i="55" s="1"/>
  <c r="J41" i="55" a="1"/>
  <c r="J41" i="55" s="1"/>
  <c r="H50" i="55" a="1"/>
  <c r="H50" i="55" s="1"/>
  <c r="H43" i="55" a="1"/>
  <c r="H43" i="55" s="1"/>
  <c r="J26" i="55" a="1"/>
  <c r="J26" i="55" s="1"/>
  <c r="J49" i="55" a="1"/>
  <c r="J49" i="55" s="1"/>
  <c r="H90" i="55" a="1"/>
  <c r="H90" i="55" s="1"/>
  <c r="H17" i="55" a="1"/>
  <c r="H17" i="55" s="1"/>
  <c r="J42" i="55" a="1"/>
  <c r="J42" i="55" s="1"/>
  <c r="J81" i="55" a="1"/>
  <c r="J81" i="55" s="1"/>
  <c r="J87" i="55" a="1"/>
  <c r="J87" i="55" s="1"/>
  <c r="H26" i="55" a="1"/>
  <c r="H26" i="55" s="1"/>
  <c r="J22" i="55" a="1"/>
  <c r="J22" i="55" s="1"/>
  <c r="J29" i="55" a="1"/>
  <c r="J29" i="55" s="1"/>
  <c r="H49" i="55" a="1"/>
  <c r="H49" i="55" s="1"/>
  <c r="J35" i="55" a="1"/>
  <c r="J35" i="55" s="1"/>
  <c r="J70" i="55" a="1"/>
  <c r="J70" i="55" s="1"/>
  <c r="J45" i="55" a="1"/>
  <c r="J45" i="55" s="1"/>
  <c r="J14" i="55" a="1"/>
  <c r="J14" i="55" s="1"/>
  <c r="H56" i="55" a="1"/>
  <c r="H56" i="55" s="1"/>
  <c r="J76" i="55" a="1"/>
  <c r="J76" i="55" s="1"/>
  <c r="J75" i="55" a="1"/>
  <c r="J75" i="55" s="1"/>
  <c r="H96" i="55" a="1"/>
  <c r="H96" i="55" s="1"/>
  <c r="J74" i="55" a="1"/>
  <c r="J74" i="55" s="1"/>
  <c r="J69" i="55" a="1"/>
  <c r="J69" i="55" s="1"/>
  <c r="J63" i="55" a="1"/>
  <c r="J63" i="55" s="1"/>
  <c r="H79" i="55" a="1"/>
  <c r="H79" i="55" s="1"/>
  <c r="L79" i="55" s="1"/>
  <c r="J50" i="55" a="1"/>
  <c r="J50" i="55" s="1"/>
  <c r="H48" i="55" a="1"/>
  <c r="H48" i="55" s="1"/>
  <c r="H14" i="55" a="1"/>
  <c r="H14" i="55" s="1"/>
  <c r="J48" i="55" a="1"/>
  <c r="J48" i="55" s="1"/>
  <c r="H100" i="55" a="1"/>
  <c r="H100" i="55" s="1"/>
  <c r="J56" i="55" a="1"/>
  <c r="J56" i="55" s="1"/>
  <c r="H41" i="55" a="1"/>
  <c r="H41" i="55" s="1"/>
  <c r="H92" i="55" a="1"/>
  <c r="H92" i="55" s="1"/>
  <c r="L92" i="55" s="1"/>
  <c r="H33" i="55" a="1"/>
  <c r="H33" i="55" s="1"/>
  <c r="L33" i="55" s="1"/>
  <c r="H74" i="55" a="1"/>
  <c r="H74" i="55" s="1"/>
  <c r="H81" i="55" a="1"/>
  <c r="H81" i="55" s="1"/>
  <c r="H46" i="55" a="1"/>
  <c r="H46" i="55" s="1"/>
  <c r="H45" i="55" a="1"/>
  <c r="H45" i="55" s="1"/>
  <c r="H69" i="55" a="1"/>
  <c r="H69" i="55" s="1"/>
  <c r="H42" i="55" a="1"/>
  <c r="H42" i="55" s="1"/>
  <c r="H22" i="55" a="1"/>
  <c r="H22" i="55" s="1"/>
  <c r="J90" i="55" a="1"/>
  <c r="J90" i="55" s="1"/>
  <c r="H13" i="55" a="1"/>
  <c r="H13" i="55" s="1"/>
  <c r="H12" i="55" a="1"/>
  <c r="H12" i="55" s="1"/>
  <c r="L12" i="55" s="1"/>
  <c r="J51" i="55" a="1"/>
  <c r="J51" i="55" s="1"/>
  <c r="J64" i="55" a="1"/>
  <c r="J64" i="55" s="1"/>
  <c r="J94" i="55" a="1"/>
  <c r="J94" i="55" s="1"/>
  <c r="J47" i="55" a="1"/>
  <c r="J47" i="55" s="1"/>
  <c r="J13" i="55" a="1"/>
  <c r="J13" i="55" s="1"/>
  <c r="H20" i="55" a="1"/>
  <c r="H20" i="55" s="1"/>
  <c r="H55" i="55" a="1"/>
  <c r="H55" i="55" s="1"/>
  <c r="L55" i="55" s="1"/>
  <c r="H71" i="55" a="1"/>
  <c r="H71" i="55" s="1"/>
  <c r="H19" i="55" a="1"/>
  <c r="H19" i="55" s="1"/>
  <c r="J59" i="55" a="1"/>
  <c r="J59" i="55" s="1"/>
  <c r="J65" i="55" a="1"/>
  <c r="J65" i="55" s="1"/>
  <c r="J38" i="55" a="1"/>
  <c r="J38" i="55" s="1"/>
  <c r="J46" i="55" a="1"/>
  <c r="J46" i="55" s="1"/>
  <c r="J86" i="55" a="1"/>
  <c r="J86" i="55" s="1"/>
  <c r="H89" i="55" a="1"/>
  <c r="H89" i="55" s="1"/>
  <c r="L89" i="55" s="1"/>
  <c r="J37" i="55" a="1"/>
  <c r="J37" i="55" s="1"/>
  <c r="H67" i="55" a="1"/>
  <c r="H67" i="55" s="1"/>
  <c r="J85" i="55" a="1"/>
  <c r="J85" i="55" s="1"/>
  <c r="H85" i="55" a="1"/>
  <c r="H85" i="55" s="1"/>
  <c r="H36" i="55" a="1"/>
  <c r="H36" i="55" s="1"/>
  <c r="J62" i="55" a="1"/>
  <c r="J62" i="55" s="1"/>
  <c r="J78" i="55" a="1"/>
  <c r="J78" i="55" s="1"/>
  <c r="H28" i="55" a="1"/>
  <c r="H28" i="55" s="1"/>
  <c r="H51" i="55" a="1"/>
  <c r="H51" i="55" s="1"/>
  <c r="J95" i="55" a="1"/>
  <c r="J95" i="55" s="1"/>
  <c r="H68" i="55" a="1"/>
  <c r="H68" i="55" s="1"/>
  <c r="J32" i="55" a="1"/>
  <c r="J32" i="55" s="1"/>
  <c r="J30" i="55" a="1"/>
  <c r="J30" i="55" s="1"/>
  <c r="H58" i="55" a="1"/>
  <c r="H58" i="55" s="1"/>
  <c r="J27" i="55" a="1"/>
  <c r="J27" i="55" s="1"/>
  <c r="L27" i="55" s="1"/>
  <c r="H82" i="55" a="1"/>
  <c r="H82" i="55" s="1"/>
  <c r="J61" i="55" a="1"/>
  <c r="J61" i="55" s="1"/>
  <c r="J84" i="55" a="1"/>
  <c r="J84" i="55" s="1"/>
  <c r="H57" i="55" a="1"/>
  <c r="H57" i="55" s="1"/>
  <c r="J57" i="55" a="1"/>
  <c r="J57" i="55" s="1"/>
  <c r="H95" i="55" a="1"/>
  <c r="H95" i="55" s="1"/>
  <c r="J71" i="55" a="1"/>
  <c r="J71" i="55" s="1"/>
  <c r="J36" i="55" a="1"/>
  <c r="J36" i="55" s="1"/>
  <c r="J60" i="55" a="1"/>
  <c r="J60" i="55" s="1"/>
  <c r="H83" i="55" a="1"/>
  <c r="H83" i="55" s="1"/>
  <c r="J58" i="55" a="1"/>
  <c r="J58" i="55" s="1"/>
  <c r="H24" i="55" a="1"/>
  <c r="H24" i="55" s="1"/>
  <c r="J98" i="55" a="1"/>
  <c r="J98" i="55" s="1"/>
  <c r="J40" i="55" a="1"/>
  <c r="J40" i="55" s="1"/>
  <c r="H15" i="55" a="1"/>
  <c r="H15" i="55" s="1"/>
  <c r="H62" i="55" a="1"/>
  <c r="H62" i="55" s="1"/>
  <c r="H61" i="55" a="1"/>
  <c r="H61" i="55" s="1"/>
  <c r="J24" i="55" a="1"/>
  <c r="J24" i="55" s="1"/>
  <c r="H53" i="55" a="1"/>
  <c r="H53" i="55" s="1"/>
  <c r="H25" i="55" a="1"/>
  <c r="H25" i="55" s="1"/>
  <c r="J67" i="55" a="1"/>
  <c r="J67" i="55" s="1"/>
  <c r="H60" i="55" a="1"/>
  <c r="H60" i="55" s="1"/>
  <c r="J18" i="55" a="1"/>
  <c r="J18" i="55" s="1"/>
  <c r="H52" i="55" a="1"/>
  <c r="H52" i="55" s="1"/>
  <c r="J21" i="55" a="1"/>
  <c r="J21" i="55" s="1"/>
  <c r="H64" i="55" a="1"/>
  <c r="H64" i="55" s="1"/>
  <c r="H97" i="55" a="1"/>
  <c r="H97" i="55" s="1"/>
  <c r="H47" i="55" a="1"/>
  <c r="H47" i="55" s="1"/>
  <c r="H21" i="55" a="1"/>
  <c r="H21" i="55" s="1"/>
  <c r="H73" i="55" a="1"/>
  <c r="H73" i="55" s="1"/>
  <c r="H94" i="55" a="1"/>
  <c r="H94" i="55" s="1"/>
  <c r="J93" i="55" a="1"/>
  <c r="J93" i="55" s="1"/>
  <c r="H40" i="55" a="1"/>
  <c r="H40" i="55" s="1"/>
  <c r="J19" i="55" a="1"/>
  <c r="J19" i="55" s="1"/>
  <c r="J68" i="55" a="1"/>
  <c r="J68" i="55" s="1"/>
  <c r="H93" i="55" a="1"/>
  <c r="H93" i="55" s="1"/>
  <c r="J28" i="55" a="1"/>
  <c r="J28" i="55" s="1"/>
  <c r="H23" i="55" a="1"/>
  <c r="H23" i="55" s="1"/>
  <c r="L23" i="55" s="1"/>
  <c r="J99" i="55" a="1"/>
  <c r="J99" i="55" s="1"/>
  <c r="H54" i="55" a="1"/>
  <c r="H54" i="55" s="1"/>
  <c r="L54" i="55" s="1"/>
  <c r="J25" i="55" a="1"/>
  <c r="J25" i="55" s="1"/>
  <c r="H84" i="55" a="1"/>
  <c r="H84" i="55" s="1"/>
  <c r="H99" i="55" a="1"/>
  <c r="H99" i="55" s="1"/>
  <c r="H37" i="55" a="1"/>
  <c r="H37" i="55" s="1"/>
  <c r="L37" i="55" s="1"/>
  <c r="J53" i="55" a="1"/>
  <c r="J53" i="55" s="1"/>
  <c r="H80" i="55" a="1"/>
  <c r="H80" i="55" s="1"/>
  <c r="H98" i="55" a="1"/>
  <c r="H98" i="55" s="1"/>
  <c r="J52" i="55" a="1"/>
  <c r="J52" i="55" s="1"/>
  <c r="H18" i="55" a="1"/>
  <c r="H18" i="55" s="1"/>
  <c r="J82" i="55" a="1"/>
  <c r="J82" i="55" s="1"/>
  <c r="J97" i="55" a="1"/>
  <c r="J97" i="55" s="1"/>
  <c r="J34" i="55" a="1"/>
  <c r="J34" i="55" s="1"/>
  <c r="J39" i="55" a="1"/>
  <c r="J39" i="55" s="1"/>
  <c r="L39" i="55" s="1"/>
  <c r="J80" i="55" a="1"/>
  <c r="J80" i="55" s="1"/>
  <c r="J83" i="55" a="1"/>
  <c r="J83" i="55" s="1"/>
  <c r="H34" i="55" a="1"/>
  <c r="H34" i="55" s="1"/>
  <c r="H59" i="55" a="1"/>
  <c r="H59" i="55" s="1"/>
  <c r="J77" i="55" a="1"/>
  <c r="J77" i="55" s="1"/>
  <c r="L77" i="55" s="1"/>
  <c r="H32" i="55" a="1"/>
  <c r="H32" i="55" s="1"/>
  <c r="J15" i="55" a="1"/>
  <c r="J15" i="55" s="1"/>
  <c r="F51" i="15" a="1"/>
  <c r="F51" i="15" s="1"/>
  <c r="G3" i="47"/>
  <c r="C3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K149" i="60"/>
  <c r="K152" i="60" s="1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K10" i="60"/>
  <c r="B14" i="61"/>
  <c r="I15" i="14"/>
  <c r="I13" i="42"/>
  <c r="J52" i="14"/>
  <c r="I32" i="58"/>
  <c r="G32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78" i="55" l="1"/>
  <c r="L31" i="55"/>
  <c r="L73" i="55"/>
  <c r="L30" i="55"/>
  <c r="L91" i="55"/>
  <c r="L59" i="55"/>
  <c r="L72" i="55"/>
  <c r="L100" i="55"/>
  <c r="L41" i="55"/>
  <c r="L32" i="55"/>
  <c r="L42" i="55"/>
  <c r="L64" i="55"/>
  <c r="L50" i="55"/>
  <c r="L14" i="55"/>
  <c r="L96" i="55"/>
  <c r="L17" i="55"/>
  <c r="L84" i="55"/>
  <c r="L95" i="55"/>
  <c r="L69" i="55"/>
  <c r="L45" i="55"/>
  <c r="L43" i="55"/>
  <c r="L85" i="55"/>
  <c r="L94" i="55"/>
  <c r="L19" i="55"/>
  <c r="L47" i="55"/>
  <c r="L22" i="55"/>
  <c r="L26" i="55"/>
  <c r="L66" i="55"/>
  <c r="L18" i="55"/>
  <c r="L60" i="55"/>
  <c r="L61" i="55"/>
  <c r="L71" i="55"/>
  <c r="L34" i="55"/>
  <c r="L81" i="55"/>
  <c r="L74" i="55"/>
  <c r="L13" i="55"/>
  <c r="L63" i="55"/>
  <c r="L70" i="55"/>
  <c r="L86" i="55"/>
  <c r="L75" i="55"/>
  <c r="L46" i="55"/>
  <c r="L48" i="55"/>
  <c r="L90" i="55"/>
  <c r="L35" i="55"/>
  <c r="L38" i="55"/>
  <c r="L56" i="55"/>
  <c r="L76" i="55"/>
  <c r="L98" i="55"/>
  <c r="L40" i="55"/>
  <c r="L62" i="55"/>
  <c r="L51" i="55"/>
  <c r="L49" i="55"/>
  <c r="L88" i="55"/>
  <c r="L44" i="55"/>
  <c r="L29" i="55"/>
  <c r="L87" i="55"/>
  <c r="L65" i="55"/>
  <c r="L99" i="55"/>
  <c r="L21" i="55"/>
  <c r="L93" i="55"/>
  <c r="L97" i="55"/>
  <c r="L25" i="55"/>
  <c r="L24" i="55"/>
  <c r="L83" i="55"/>
  <c r="L82" i="55"/>
  <c r="L36" i="55"/>
  <c r="L52" i="55"/>
  <c r="L53" i="55"/>
  <c r="L68" i="55"/>
  <c r="L15" i="55"/>
  <c r="L28" i="55"/>
  <c r="L67" i="55"/>
  <c r="L80" i="55"/>
  <c r="L57" i="55"/>
  <c r="L58" i="55"/>
  <c r="L20" i="55"/>
  <c r="I51" i="15"/>
  <c r="A6" i="42"/>
  <c r="A71" i="42"/>
  <c r="I72" i="42"/>
  <c r="H27" i="56"/>
  <c r="I16" i="71"/>
  <c r="J16" i="71"/>
  <c r="J16" i="14"/>
  <c r="G31" i="43"/>
  <c r="I16" i="14"/>
  <c r="G67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E82" i="42"/>
  <c r="H67" i="42"/>
  <c r="A29" i="56"/>
  <c r="J17" i="71" l="1"/>
  <c r="I17" i="71"/>
  <c r="I17" i="14"/>
  <c r="J17" i="14"/>
  <c r="I68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32" i="47"/>
  <c r="I33" i="47" s="1"/>
  <c r="H15" i="47"/>
  <c r="I15" i="47"/>
  <c r="J25" i="71" l="1"/>
  <c r="I25" i="71"/>
  <c r="I25" i="14"/>
  <c r="J25" i="14"/>
  <c r="H33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J40" i="14" l="1"/>
  <c r="I40" i="14"/>
  <c r="I41" i="14" l="1"/>
  <c r="J41" i="14"/>
  <c r="J42" i="14" l="1"/>
  <c r="I42" i="14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A23" i="60" l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F59" i="15" l="1" a="1"/>
  <c r="F59" i="15" s="1"/>
  <c r="D13" i="39"/>
  <c r="F60" i="15" a="1"/>
  <c r="F60" i="15" s="1"/>
  <c r="F62" i="15" a="1"/>
  <c r="F62" i="15" s="1"/>
  <c r="F57" i="15" a="1"/>
  <c r="F57" i="15" s="1"/>
  <c r="E59" i="15" a="1"/>
  <c r="E59" i="15" s="1"/>
  <c r="I59" i="15" s="1"/>
  <c r="F9" i="70" a="1"/>
  <c r="F9" i="70" s="1"/>
  <c r="E60" i="15" a="1"/>
  <c r="E60" i="15" s="1"/>
  <c r="I60" i="15" s="1"/>
  <c r="F52" i="15" a="1"/>
  <c r="F52" i="15" s="1"/>
  <c r="F53" i="15" s="1"/>
  <c r="E56" i="15" a="1"/>
  <c r="E56" i="15" s="1"/>
  <c r="E58" i="15" a="1"/>
  <c r="E58" i="15" s="1"/>
  <c r="F18" i="70" a="1"/>
  <c r="F18" i="70" s="1"/>
  <c r="E57" i="15" a="1"/>
  <c r="E57" i="15" s="1"/>
  <c r="I57" i="15" s="1"/>
  <c r="E39" i="15" a="1"/>
  <c r="E39" i="15" s="1"/>
  <c r="E7" i="12" a="1"/>
  <c r="E7" i="12" s="1"/>
  <c r="E35" i="15" a="1"/>
  <c r="E35" i="15" s="1"/>
  <c r="E10" i="12" s="1"/>
  <c r="E54" i="15" a="1"/>
  <c r="E54" i="15" s="1"/>
  <c r="E19" i="15" a="1"/>
  <c r="E19" i="15" s="1"/>
  <c r="F24" i="15" a="1"/>
  <c r="F24" i="15" s="1"/>
  <c r="E38" i="15" a="1"/>
  <c r="E38" i="15" s="1"/>
  <c r="F44" i="15" a="1"/>
  <c r="F44" i="15" s="1"/>
  <c r="F28" i="15" a="1"/>
  <c r="F28" i="15" s="1"/>
  <c r="E20" i="70" a="1"/>
  <c r="E20" i="70" s="1"/>
  <c r="E21" i="70" a="1"/>
  <c r="E21" i="70" s="1"/>
  <c r="E55" i="15" a="1"/>
  <c r="E55" i="15" s="1"/>
  <c r="E61" i="15" a="1"/>
  <c r="E61" i="15" s="1"/>
  <c r="F35" i="15" a="1"/>
  <c r="F35" i="15" s="1"/>
  <c r="F10" i="12" s="1"/>
  <c r="E24" i="15" a="1"/>
  <c r="E24" i="15" s="1"/>
  <c r="F17" i="70" a="1"/>
  <c r="F17" i="70" s="1"/>
  <c r="F20" i="15" a="1"/>
  <c r="F20" i="15" s="1"/>
  <c r="E30" i="15" a="1"/>
  <c r="E30" i="15" s="1"/>
  <c r="F30" i="15" a="1"/>
  <c r="F30" i="15" s="1"/>
  <c r="E42" i="15" a="1"/>
  <c r="E42" i="15" s="1"/>
  <c r="F8" i="70" a="1"/>
  <c r="F8" i="70" s="1"/>
  <c r="E12" i="15" a="1"/>
  <c r="E12" i="15" s="1"/>
  <c r="F14" i="15" a="1"/>
  <c r="F14" i="15" s="1"/>
  <c r="F24" i="70" s="1"/>
  <c r="E7" i="70" a="1"/>
  <c r="E7" i="70" s="1"/>
  <c r="F36" i="15" a="1"/>
  <c r="F36" i="15" s="1"/>
  <c r="F14" i="70" a="1"/>
  <c r="F14" i="70" s="1"/>
  <c r="F33" i="15" a="1"/>
  <c r="F33" i="15" s="1"/>
  <c r="E21" i="15" a="1"/>
  <c r="E21" i="15" s="1"/>
  <c r="E32" i="15" a="1"/>
  <c r="E32" i="15" s="1"/>
  <c r="F37" i="15" a="1"/>
  <c r="F37" i="15" s="1"/>
  <c r="F49" i="15" a="1"/>
  <c r="F49" i="15" s="1"/>
  <c r="E52" i="15" a="1"/>
  <c r="E52" i="15" s="1"/>
  <c r="E53" i="15" s="1"/>
  <c r="F46" i="15" a="1"/>
  <c r="F46" i="15" s="1"/>
  <c r="E33" i="15" a="1"/>
  <c r="E33" i="15" s="1"/>
  <c r="F6" i="12" a="1"/>
  <c r="F6" i="12" s="1"/>
  <c r="F20" i="70" a="1"/>
  <c r="F20" i="70" s="1"/>
  <c r="E14" i="70" a="1"/>
  <c r="E14" i="70" s="1"/>
  <c r="F10" i="15" a="1"/>
  <c r="F10" i="15" s="1"/>
  <c r="E37" i="15" a="1"/>
  <c r="E37" i="15" s="1"/>
  <c r="E17" i="70" a="1"/>
  <c r="E17" i="70" s="1"/>
  <c r="E8" i="70" a="1"/>
  <c r="E8" i="70" s="1"/>
  <c r="E14" i="15" a="1"/>
  <c r="E14" i="15" s="1"/>
  <c r="E24" i="70" s="1"/>
  <c r="F7" i="70" a="1"/>
  <c r="F7" i="70" s="1"/>
  <c r="E27" i="15" a="1"/>
  <c r="E27" i="15" s="1"/>
  <c r="E18" i="70" a="1"/>
  <c r="E18" i="70" s="1"/>
  <c r="F48" i="15" a="1"/>
  <c r="F48" i="15" s="1"/>
  <c r="E25" i="15" a="1"/>
  <c r="E25" i="15" s="1"/>
  <c r="H103" i="55" s="1"/>
  <c r="F21" i="15" a="1"/>
  <c r="F21" i="15" s="1"/>
  <c r="E26" i="15" a="1"/>
  <c r="E26" i="15" s="1"/>
  <c r="E10" i="15" a="1"/>
  <c r="E10" i="15" s="1"/>
  <c r="F26" i="15" a="1"/>
  <c r="F26" i="15" s="1"/>
  <c r="F21" i="70" a="1"/>
  <c r="F21" i="70" s="1"/>
  <c r="F10" i="70" a="1"/>
  <c r="F10" i="70" s="1"/>
  <c r="E36" i="15" a="1"/>
  <c r="E36" i="15" s="1"/>
  <c r="F15" i="15" a="1"/>
  <c r="F15" i="15" s="1"/>
  <c r="E17" i="15" a="1"/>
  <c r="E17" i="15" s="1"/>
  <c r="E44" i="15" a="1"/>
  <c r="E44" i="15" s="1"/>
  <c r="F12" i="15" a="1"/>
  <c r="F12" i="15" s="1"/>
  <c r="F7" i="12" a="1"/>
  <c r="F7" i="12" s="1"/>
  <c r="E20" i="15" a="1"/>
  <c r="E20" i="15" s="1"/>
  <c r="E46" i="15" a="1"/>
  <c r="E46" i="15" s="1"/>
  <c r="F17" i="15" a="1"/>
  <c r="F17" i="15" s="1"/>
  <c r="E28" i="15" a="1"/>
  <c r="E28" i="15" s="1"/>
  <c r="F27" i="15" a="1"/>
  <c r="F27" i="15" s="1"/>
  <c r="E9" i="70" a="1"/>
  <c r="E9" i="70" s="1"/>
  <c r="F38" i="15" a="1"/>
  <c r="F38" i="15" s="1"/>
  <c r="E15" i="15" a="1"/>
  <c r="E15" i="15" s="1"/>
  <c r="F39" i="15" a="1"/>
  <c r="F39" i="15" s="1"/>
  <c r="F25" i="15" a="1"/>
  <c r="F25" i="15" s="1"/>
  <c r="J103" i="55" s="1"/>
  <c r="E6" i="12" a="1"/>
  <c r="E6" i="12" s="1"/>
  <c r="E49" i="15" a="1"/>
  <c r="E49" i="15" s="1"/>
  <c r="E23" i="15" a="1"/>
  <c r="E23" i="15" s="1"/>
  <c r="E62" i="15" a="1"/>
  <c r="E62" i="15" s="1"/>
  <c r="F19" i="15" a="1"/>
  <c r="F19" i="15" s="1"/>
  <c r="F42" i="15" a="1"/>
  <c r="F42" i="15" s="1"/>
  <c r="F32" i="15" a="1"/>
  <c r="F32" i="15" s="1"/>
  <c r="F19" i="70" a="1"/>
  <c r="F19" i="70" s="1"/>
  <c r="E48" i="15" a="1"/>
  <c r="E48" i="15" s="1"/>
  <c r="E19" i="70" a="1"/>
  <c r="E19" i="70" s="1"/>
  <c r="F23" i="15" a="1"/>
  <c r="F23" i="15" s="1"/>
  <c r="C14" i="39"/>
  <c r="I62" i="15" l="1"/>
  <c r="G36" i="15"/>
  <c r="H38" i="15"/>
  <c r="G9" i="70"/>
  <c r="G18" i="70"/>
  <c r="H21" i="70"/>
  <c r="G33" i="15"/>
  <c r="F13" i="70" a="1"/>
  <c r="F13" i="70" s="1"/>
  <c r="F16" i="70" a="1"/>
  <c r="F16" i="70" s="1"/>
  <c r="F15" i="70" a="1"/>
  <c r="F15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5" i="70" a="1"/>
  <c r="E15" i="70" s="1"/>
  <c r="G15" i="70" s="1"/>
  <c r="E16" i="70" a="1"/>
  <c r="E16" i="70" s="1"/>
  <c r="E11" i="70" a="1"/>
  <c r="E11" i="70" s="1"/>
  <c r="F12" i="70" a="1"/>
  <c r="F12" i="70" s="1"/>
  <c r="H20" i="70"/>
  <c r="H19" i="15"/>
  <c r="G28" i="15"/>
  <c r="H7" i="12"/>
  <c r="H23" i="15"/>
  <c r="G8" i="70"/>
  <c r="G17" i="70"/>
  <c r="G14" i="70"/>
  <c r="G24" i="15"/>
  <c r="H27" i="15"/>
  <c r="H48" i="15"/>
  <c r="G7" i="70"/>
  <c r="H19" i="70"/>
  <c r="E50" i="15"/>
  <c r="G49" i="15"/>
  <c r="G15" i="15"/>
  <c r="E16" i="15"/>
  <c r="G46" i="15"/>
  <c r="E47" i="15"/>
  <c r="H15" i="15"/>
  <c r="H16" i="15" s="1"/>
  <c r="F16" i="15"/>
  <c r="E29" i="15"/>
  <c r="G26" i="15"/>
  <c r="G14" i="15"/>
  <c r="F11" i="15"/>
  <c r="H10" i="15"/>
  <c r="H11" i="15" s="1"/>
  <c r="H6" i="12"/>
  <c r="F9" i="12"/>
  <c r="F11" i="12" s="1"/>
  <c r="I52" i="15"/>
  <c r="I53" i="15"/>
  <c r="H33" i="15"/>
  <c r="H36" i="15"/>
  <c r="E13" i="15"/>
  <c r="G12" i="15"/>
  <c r="G13" i="15" s="1"/>
  <c r="G42" i="15"/>
  <c r="E43" i="15"/>
  <c r="F45" i="15"/>
  <c r="H44" i="15"/>
  <c r="H45" i="15" s="1"/>
  <c r="G38" i="15"/>
  <c r="H9" i="70"/>
  <c r="F55" i="15" a="1"/>
  <c r="F55" i="15" s="1"/>
  <c r="I55" i="15" s="1"/>
  <c r="H42" i="15"/>
  <c r="F43" i="15"/>
  <c r="G6" i="12"/>
  <c r="E9" i="12"/>
  <c r="E11" i="12" s="1"/>
  <c r="F13" i="15"/>
  <c r="H12" i="15"/>
  <c r="H13" i="15" s="1"/>
  <c r="F29" i="15"/>
  <c r="H26" i="15"/>
  <c r="F50" i="15"/>
  <c r="H49" i="15"/>
  <c r="H30" i="15"/>
  <c r="H31" i="15" s="1"/>
  <c r="F31" i="15"/>
  <c r="H24" i="15"/>
  <c r="G39" i="15"/>
  <c r="G40" i="15" s="1"/>
  <c r="E40" i="15"/>
  <c r="E41" i="15" s="1"/>
  <c r="F56" i="15" a="1"/>
  <c r="F56" i="15" s="1"/>
  <c r="I56" i="15" s="1"/>
  <c r="E22" i="15"/>
  <c r="G20" i="15"/>
  <c r="F18" i="15"/>
  <c r="H17" i="15"/>
  <c r="E45" i="15"/>
  <c r="G44" i="15"/>
  <c r="G45" i="15" s="1"/>
  <c r="E11" i="15"/>
  <c r="G10" i="15"/>
  <c r="G11" i="15" s="1"/>
  <c r="H21" i="15"/>
  <c r="G27" i="15"/>
  <c r="H37" i="15"/>
  <c r="E34" i="15"/>
  <c r="G32" i="15"/>
  <c r="G34" i="15" s="1"/>
  <c r="E31" i="15"/>
  <c r="G30" i="15"/>
  <c r="G31" i="15" s="1"/>
  <c r="H20" i="15"/>
  <c r="F22" i="15"/>
  <c r="G21" i="70"/>
  <c r="H28" i="15"/>
  <c r="G35" i="15"/>
  <c r="H18" i="70"/>
  <c r="F58" i="15" a="1"/>
  <c r="F58" i="15" s="1"/>
  <c r="I58" i="15" s="1"/>
  <c r="F61" i="15" a="1"/>
  <c r="F61" i="15" s="1"/>
  <c r="I61" i="15" s="1"/>
  <c r="F54" i="15" a="1"/>
  <c r="F54" i="15" s="1"/>
  <c r="I54" i="15" s="1"/>
  <c r="F34" i="15"/>
  <c r="H32" i="15"/>
  <c r="H25" i="15"/>
  <c r="G19" i="70"/>
  <c r="G48" i="15"/>
  <c r="G23" i="15"/>
  <c r="F40" i="15"/>
  <c r="F41" i="15" s="1"/>
  <c r="H39" i="15"/>
  <c r="H40" i="15" s="1"/>
  <c r="G17" i="15"/>
  <c r="E18" i="15"/>
  <c r="G25" i="15"/>
  <c r="L103" i="55" s="1"/>
  <c r="H7" i="70"/>
  <c r="G37" i="15"/>
  <c r="H46" i="15"/>
  <c r="F47" i="15"/>
  <c r="G21" i="15"/>
  <c r="H14" i="70"/>
  <c r="H14" i="15"/>
  <c r="H8" i="70"/>
  <c r="H17" i="70"/>
  <c r="H35" i="15"/>
  <c r="G20" i="70"/>
  <c r="G19" i="15"/>
  <c r="G7" i="12"/>
  <c r="E10" i="70" a="1"/>
  <c r="E10" i="70" s="1"/>
  <c r="G10" i="70" s="1"/>
  <c r="G6" i="70" l="1"/>
  <c r="G16" i="70"/>
  <c r="G11" i="70"/>
  <c r="H47" i="15"/>
  <c r="H34" i="15"/>
  <c r="G13" i="70"/>
  <c r="H12" i="70"/>
  <c r="H43" i="15"/>
  <c r="L102" i="55"/>
  <c r="K103" i="55" s="1"/>
  <c r="H11" i="70"/>
  <c r="H15" i="70"/>
  <c r="H13" i="70"/>
  <c r="G12" i="70"/>
  <c r="H6" i="70"/>
  <c r="H16" i="70"/>
  <c r="H22" i="15"/>
  <c r="G18" i="15"/>
  <c r="E63" i="15"/>
  <c r="F63" i="15"/>
  <c r="G41" i="15"/>
  <c r="J102" i="55"/>
  <c r="I103" i="55" s="1"/>
  <c r="G22" i="15"/>
  <c r="G9" i="12"/>
  <c r="F23" i="70"/>
  <c r="F25" i="70" s="1"/>
  <c r="E23" i="70"/>
  <c r="E25" i="70" s="1"/>
  <c r="H10" i="70"/>
  <c r="H18" i="15"/>
  <c r="H102" i="55"/>
  <c r="G103" i="55" s="1"/>
  <c r="H29" i="15"/>
  <c r="H9" i="12"/>
  <c r="G16" i="15"/>
  <c r="H41" i="15"/>
  <c r="G29" i="15"/>
  <c r="G47" i="15"/>
  <c r="G50" i="15"/>
  <c r="H50" i="15"/>
  <c r="G43" i="15"/>
  <c r="G23" i="70" l="1"/>
  <c r="G63" i="15"/>
  <c r="H63" i="15"/>
  <c r="H23" i="70"/>
  <c r="H65" i="15" l="1"/>
</calcChain>
</file>

<file path=xl/sharedStrings.xml><?xml version="1.0" encoding="utf-8"?>
<sst xmlns="http://schemas.openxmlformats.org/spreadsheetml/2006/main" count="2185" uniqueCount="778">
  <si>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</si>
  <si>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</si>
  <si>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</si>
  <si>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</si>
  <si>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</si>
  <si>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</si>
  <si>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</si>
  <si>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</si>
  <si>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</si>
  <si>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</si>
  <si>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</si>
  <si>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</si>
  <si>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</si>
  <si>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</si>
  <si>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</si>
  <si>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</si>
  <si>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</si>
  <si>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</si>
  <si>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</si>
  <si>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</si>
  <si>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</si>
  <si>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</si>
  <si>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</si>
  <si>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</si>
  <si>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</si>
  <si>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</si>
  <si>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</si>
  <si>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</si>
  <si>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</si>
  <si>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</si>
  <si>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</si>
  <si>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</si>
  <si>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</si>
  <si>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</si>
  <si>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</si>
  <si>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</si>
  <si>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</si>
  <si>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</si>
  <si>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</si>
  <si>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</si>
  <si>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</si>
  <si>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</si>
  <si>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</si>
  <si>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</si>
  <si>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</si>
  <si>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</si>
  <si>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</si>
  <si>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</si>
  <si>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</si>
  <si>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</si>
  <si>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</si>
  <si>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</si>
  <si>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</si>
  <si>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</si>
  <si>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</si>
  <si>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</si>
  <si>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</si>
  <si>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</si>
  <si>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</si>
  <si>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</si>
  <si>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</si>
  <si>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</si>
  <si>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</si>
  <si>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</si>
  <si>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</si>
  <si>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</si>
  <si>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</si>
  <si>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</si>
  <si>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</si>
  <si>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</si>
  <si>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</si>
  <si>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</si>
  <si>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</si>
  <si>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</si>
  <si>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</si>
  <si>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</si>
  <si>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</si>
  <si>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</si>
  <si>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</si>
  <si>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</si>
  <si>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</si>
  <si>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</si>
  <si>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</si>
  <si>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</si>
  <si>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</si>
  <si>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</si>
  <si>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</si>
  <si>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</si>
  <si>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</si>
  <si>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</si>
  <si>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</si>
  <si>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</si>
  <si>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</si>
  <si>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</si>
  <si>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</si>
  <si>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</si>
  <si>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</si>
  <si>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</si>
  <si>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</si>
  <si>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</si>
  <si>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</si>
  <si>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</si>
  <si>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</si>
  <si>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</si>
  <si>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</si>
  <si>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</si>
  <si>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</si>
  <si>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</si>
  <si>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</si>
  <si>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</si>
  <si>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</si>
  <si>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</si>
  <si>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</si>
  <si>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</si>
  <si>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</si>
  <si>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</si>
  <si>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</si>
  <si>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</si>
  <si>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</si>
  <si>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</si>
  <si>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</si>
  <si>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</si>
  <si>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</si>
  <si>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</si>
  <si>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</si>
  <si>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</si>
  <si>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</si>
  <si>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</si>
  <si>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</si>
  <si>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</si>
  <si>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</si>
  <si>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</si>
  <si>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</si>
  <si>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</si>
  <si>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</si>
  <si>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</si>
  <si>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</si>
  <si>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</si>
  <si>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</si>
  <si>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</si>
  <si>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</si>
  <si>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</si>
  <si>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</si>
  <si>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</si>
  <si>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</si>
  <si>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</si>
  <si>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</si>
  <si>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</si>
  <si>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</si>
  <si>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</si>
  <si>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</si>
  <si>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</si>
  <si>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</si>
  <si>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</si>
  <si>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</si>
  <si>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</si>
  <si>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</si>
  <si>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</si>
  <si>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</si>
  <si>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</si>
  <si>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</si>
  <si>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</si>
  <si>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</si>
  <si>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</si>
  <si>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</si>
  <si>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</si>
  <si>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</si>
  <si>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</si>
  <si>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</si>
  <si>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</si>
  <si>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</si>
  <si>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</si>
  <si>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</si>
  <si>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</si>
  <si>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</si>
  <si>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</si>
  <si>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</si>
  <si>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</si>
  <si>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</si>
  <si>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</si>
  <si>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</si>
  <si>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</si>
  <si>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</si>
  <si>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</si>
  <si>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</si>
  <si>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</si>
  <si>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</si>
  <si>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</si>
  <si>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</si>
  <si>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</si>
  <si>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</si>
  <si>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</si>
  <si>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</si>
  <si>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</si>
  <si>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</si>
  <si>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</si>
  <si>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</si>
  <si>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</si>
  <si>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</si>
  <si>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</si>
  <si>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</si>
  <si>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</si>
  <si>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</si>
  <si>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</si>
  <si>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</si>
  <si>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</si>
  <si>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</si>
  <si>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</si>
  <si>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</si>
  <si>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</si>
  <si>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</si>
  <si>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</si>
  <si>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</si>
  <si>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</si>
  <si>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</si>
  <si>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</si>
  <si>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</si>
  <si>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</si>
  <si>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</si>
  <si>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</si>
  <si>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</si>
  <si>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</si>
  <si>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</si>
  <si>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</si>
  <si>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</si>
  <si>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</si>
  <si>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</si>
  <si>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</si>
  <si>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</si>
  <si>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</si>
  <si>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</si>
  <si>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</si>
  <si>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</si>
  <si>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</si>
  <si>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</si>
  <si>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</si>
  <si>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</si>
  <si>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</si>
  <si>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</si>
  <si>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</si>
  <si>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</si>
  <si>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</si>
  <si>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</si>
  <si>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</si>
  <si>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</si>
  <si>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</si>
  <si>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</si>
  <si>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</si>
  <si>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</si>
  <si>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</si>
  <si>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</si>
  <si>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</si>
  <si>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</si>
  <si>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</si>
  <si>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</si>
  <si>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</si>
  <si>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</si>
  <si>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</si>
  <si>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</si>
  <si>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</si>
  <si>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</si>
  <si>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</si>
  <si>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</si>
  <si>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</si>
  <si>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</si>
  <si>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</si>
  <si>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</si>
  <si>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</si>
  <si>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</si>
  <si>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</si>
  <si>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</si>
  <si>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</si>
  <si>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</si>
  <si>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</si>
  <si>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</si>
  <si>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</si>
  <si>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</si>
  <si>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</si>
  <si>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</si>
  <si>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</si>
  <si>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</si>
  <si>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</si>
  <si>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</si>
  <si>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</si>
  <si>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</si>
  <si>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</si>
  <si>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</si>
  <si>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</si>
  <si>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</si>
  <si>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</si>
  <si>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</si>
  <si>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</si>
  <si>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</si>
  <si>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</si>
  <si>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</si>
  <si>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</si>
  <si>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</si>
  <si>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</si>
  <si>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</si>
  <si>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</si>
  <si>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</si>
  <si>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</si>
  <si>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</si>
  <si>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</si>
  <si>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</si>
  <si>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</si>
  <si>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</si>
  <si>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</si>
  <si>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</si>
  <si>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</si>
  <si>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</si>
  <si>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</si>
  <si>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</si>
  <si>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</si>
  <si>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</si>
  <si>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</si>
  <si>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</si>
  <si>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</si>
  <si>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</si>
  <si>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</si>
  <si>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</si>
  <si>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</si>
  <si>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</si>
  <si>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</si>
  <si>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</si>
  <si>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</si>
  <si>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</si>
  <si>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</si>
  <si>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</si>
  <si>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</si>
  <si>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</si>
  <si>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</si>
  <si>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</si>
  <si>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</si>
  <si>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</si>
  <si>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</si>
  <si>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</si>
  <si>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</si>
  <si>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</si>
  <si>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</si>
  <si>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</si>
  <si>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</si>
  <si>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</si>
  <si>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</si>
  <si>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</si>
  <si>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</si>
  <si>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THÁNG</t>
  </si>
  <si>
    <t>EIB CHỢ LỚN</t>
  </si>
  <si>
    <t>CTGS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</si>
  <si>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</si>
  <si>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</si>
  <si>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</si>
  <si>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</si>
  <si>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</si>
  <si>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</si>
  <si>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</si>
  <si>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</si>
  <si>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</si>
  <si>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</si>
  <si>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</si>
  <si>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</si>
  <si>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</si>
  <si>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</si>
  <si>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</si>
  <si>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</si>
  <si>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</si>
  <si>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</si>
  <si>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</si>
  <si>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2V+1X ( 1300x1500 - Po 4/4)</t>
  </si>
  <si>
    <t>Giấy tấm 2V+3X ( 1820x1400 - Po 4/4)</t>
  </si>
  <si>
    <t>tấm</t>
  </si>
  <si>
    <t>Giấy tấm 1V+2X ( 1640x544)</t>
  </si>
  <si>
    <t>Giấy tấm 1V+2X ( 1460x444)</t>
  </si>
  <si>
    <t>Kẽm đóng bao bì</t>
  </si>
  <si>
    <t>Giấy tấm 2V+1X ( 1000x1500)</t>
  </si>
  <si>
    <t>Giấy tấm 2V+3X ( 1780x1248)</t>
  </si>
  <si>
    <t>T01</t>
  </si>
  <si>
    <t>T02</t>
  </si>
  <si>
    <t>Máy chap khe khổ 2m</t>
  </si>
  <si>
    <t>Máy đóng kẽm</t>
  </si>
  <si>
    <t>Bản in cao su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</si>
  <si>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</si>
  <si>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</si>
  <si>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</si>
  <si>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</si>
  <si>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</si>
  <si>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( 2440x1750)</t>
  </si>
  <si>
    <t>Giấy tấm 2V+3X ( 2050x754)</t>
  </si>
  <si>
    <t>Giấy tấm 2V+3X ( 2330x884)</t>
  </si>
  <si>
    <t>Giấy tấm 2V+3X ( 2450x884)</t>
  </si>
  <si>
    <t>Giấy tấm 2V+1X ( 1520x1500)</t>
  </si>
  <si>
    <t>Giấy tấm 2V+3X ( 1570x674)</t>
  </si>
  <si>
    <t>Giấy tấm 2V+3X ( 1310x941)</t>
  </si>
  <si>
    <t>Giấy tấm 2V+3X ( 1170x420)</t>
  </si>
  <si>
    <t>Giấy tấm 2V+3X ( 1150x444)</t>
  </si>
  <si>
    <t>Giấy tấm 1V+2X ( 1920x654)</t>
  </si>
  <si>
    <t>Giấy tấm 1V+4X ( 1720x669)</t>
  </si>
  <si>
    <t>Giấy tấm 1V+4X ( 1790x784)</t>
  </si>
  <si>
    <t>Giấy tấm 2V+3X ( 1950x714)</t>
  </si>
  <si>
    <t>Giấy tấm 2V+1X ( 1740x614)</t>
  </si>
  <si>
    <t>Giấy tấm 2V+1X ( 1610x530)</t>
  </si>
  <si>
    <t>Giấy tấm 2V+1X ( 1700x570)</t>
  </si>
  <si>
    <t>Máy In</t>
  </si>
  <si>
    <t>Giấy carton 7L ( 115x137)</t>
  </si>
  <si>
    <t>Giấy carton 7L ( 115x147)</t>
  </si>
  <si>
    <t>Giấy tấm ND+5X+V ( 90x147)</t>
  </si>
  <si>
    <t>Giấy tấm 2V+3X ( 2030x1600)</t>
  </si>
  <si>
    <t>Giấy carton 7L ( 110x226)</t>
  </si>
  <si>
    <t>Giấy carton 7L ( 85x140)</t>
  </si>
  <si>
    <t>Giấy carton 7L ( 85x134)</t>
  </si>
  <si>
    <t>Giấy carton 7L ( 85x226)</t>
  </si>
  <si>
    <t>Giấy carton 7L ( 85x120)</t>
  </si>
  <si>
    <t>Giấy carton 5L ( 155x159)</t>
  </si>
  <si>
    <t>Giấy tấm 2V+3X ( 1390x454)</t>
  </si>
  <si>
    <t>Giấy tấm 2V+3X ( 2110x1550)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</si>
  <si>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</si>
  <si>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</si>
  <si>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</si>
  <si>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</si>
  <si>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</si>
  <si>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</si>
  <si>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</si>
  <si>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</si>
  <si>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</si>
  <si>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Thùng giấy 5 lớp (120x51x51)</t>
  </si>
  <si>
    <t>Thùng giấy 5 lớp (147x51x51)</t>
  </si>
  <si>
    <t>Thùng (58x37x34)</t>
  </si>
  <si>
    <t>Thùng (58x41x37)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</si>
  <si>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</si>
  <si>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</si>
  <si>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</si>
  <si>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</si>
  <si>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</si>
  <si>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</si>
  <si>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</si>
  <si>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</si>
  <si>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</si>
  <si>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</si>
  <si>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</si>
  <si>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</si>
  <si>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</si>
  <si>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</si>
  <si>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</si>
  <si>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</si>
  <si>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</si>
  <si>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</si>
  <si>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</si>
  <si>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</si>
  <si>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</si>
  <si>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</si>
  <si>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</si>
  <si>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</si>
  <si>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</si>
  <si>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</si>
  <si>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</si>
  <si>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</si>
  <si>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</si>
  <si>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</si>
  <si>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</si>
  <si>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</si>
  <si>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</si>
  <si>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</si>
  <si>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</si>
  <si>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</si>
  <si>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</si>
  <si>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</si>
  <si>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</si>
  <si>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</si>
  <si>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</si>
  <si>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</si>
  <si>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</si>
  <si>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</si>
  <si>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</si>
  <si>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</si>
  <si>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</si>
  <si>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</si>
  <si>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</si>
  <si>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</si>
  <si>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</si>
  <si>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</si>
  <si>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</si>
  <si>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</si>
  <si>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</si>
  <si>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</si>
  <si>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</si>
  <si>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</si>
  <si>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</si>
  <si>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</si>
  <si>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</si>
  <si>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</si>
  <si>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</si>
  <si>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</si>
  <si>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</si>
  <si>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</si>
  <si>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</si>
  <si>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</si>
  <si>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</si>
  <si>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</si>
  <si>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</si>
  <si>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</si>
  <si>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</si>
  <si>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</si>
  <si>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</si>
  <si>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</si>
  <si>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</si>
  <si>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</si>
  <si>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</si>
  <si>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</si>
  <si>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</si>
  <si>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</si>
  <si>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</si>
  <si>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</si>
  <si>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</si>
  <si>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</si>
  <si>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</si>
  <si>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</si>
  <si>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</si>
  <si>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</si>
  <si>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</si>
  <si>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</si>
  <si>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</si>
  <si>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</si>
  <si>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</si>
  <si>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</si>
  <si>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</si>
  <si>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</si>
  <si>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</si>
  <si>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</si>
  <si>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</si>
  <si>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</si>
  <si>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</si>
  <si>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</si>
  <si>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</si>
  <si>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</si>
  <si>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</si>
  <si>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</si>
  <si>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</si>
  <si>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</si>
  <si>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Bộ vĩ (1 dài + 2 ngắn)</t>
  </si>
  <si>
    <t>Bộ vĩ (1 dài + 1 ngắn)</t>
  </si>
  <si>
    <t>Thùng không in (60x38x25)</t>
  </si>
  <si>
    <t>Thùng (57x31x31)</t>
  </si>
  <si>
    <t>Thùng (61x58x33)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</si>
  <si>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</si>
  <si>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</si>
  <si>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</si>
  <si>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</si>
  <si>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</si>
  <si>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</si>
  <si>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</si>
  <si>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</si>
  <si>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</si>
  <si>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</si>
  <si>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</si>
  <si>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Thùng 3 lớp (52x27x27)</t>
  </si>
  <si>
    <t>Thùng 3 lớp (52x26x26)</t>
  </si>
  <si>
    <t>Thùng không in (60x40x50)</t>
  </si>
  <si>
    <t>Thùng (63x47x37)</t>
  </si>
  <si>
    <t>Thùng (63x43x37)</t>
  </si>
  <si>
    <t>Thùng (60.5x41x29)</t>
  </si>
  <si>
    <t>Thùng không in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</si>
  <si>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</si>
  <si>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</si>
  <si>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</si>
  <si>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</si>
  <si>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</si>
  <si>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</si>
  <si>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</si>
  <si>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</si>
  <si>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</si>
  <si>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</si>
  <si>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</si>
  <si>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</si>
  <si>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cái</t>
  </si>
  <si>
    <t>Ghi Nợ tài khoản : 641</t>
  </si>
  <si>
    <t>- Tài khoản : 641</t>
  </si>
  <si>
    <t>- Ghi có TK : 641</t>
  </si>
  <si>
    <t>Quý III</t>
  </si>
  <si>
    <t>Quý IV</t>
  </si>
  <si>
    <t>K/C lãi  SXKD  - Quý III</t>
  </si>
  <si>
    <t>K/C lãi SXKD  - Quý IV</t>
  </si>
  <si>
    <t>K/C lỗ SXKD - Quý 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</si>
  <si>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</si>
  <si>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</si>
  <si>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</si>
  <si>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</si>
  <si>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</si>
  <si>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</si>
  <si>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</si>
  <si>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</si>
  <si>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</si>
  <si>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</si>
  <si>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BÁO CÁO TÀI CHÍNH</t>
  </si>
  <si>
    <t>8. Phải Thu, Phải Trả, Báo cáo xuất nhập tồn</t>
  </si>
  <si>
    <t>4. Bảng tính giá thành sản phẩm</t>
  </si>
  <si>
    <t>1. Tờ khai Quyết Toán Thuế TNDN</t>
  </si>
  <si>
    <t>2. Tờ Khai Quyết Toán Thuế TNCN</t>
  </si>
  <si>
    <t>3. Bảng Cân Đối Kế Toán</t>
  </si>
  <si>
    <t>4. Báo Cáo Kết Qủa Hoạt Động Sản Xuất Kinh Doanh</t>
  </si>
  <si>
    <t>5. Lưu Chuyển Tiền Tệ</t>
  </si>
  <si>
    <t>6. Bảng Cân Đối Tài Khoản</t>
  </si>
  <si>
    <t>7. Bảng Thuyết Minh Báo Cáo Tài Chính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</si>
  <si>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</si>
  <si>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</si>
  <si>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</si>
  <si>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</si>
  <si>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</si>
  <si>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</si>
  <si>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</si>
  <si>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</si>
  <si>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</si>
  <si>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</si>
  <si>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</si>
  <si>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</si>
  <si>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</si>
  <si>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</si>
  <si>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</si>
  <si>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</si>
  <si>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</si>
  <si>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</si>
  <si>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</si>
  <si>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</si>
  <si>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</si>
  <si>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Thanh toán tiền điện</t>
  </si>
  <si>
    <t>VAT Thanh toán tiền điện</t>
  </si>
  <si>
    <t>Cty Điện Lực Bình Dương</t>
  </si>
  <si>
    <t>3295876, 875</t>
  </si>
  <si>
    <t>0241188, 0187404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</si>
  <si>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</si>
  <si>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</si>
  <si>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</si>
  <si>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</si>
  <si>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</si>
  <si>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</si>
  <si>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</si>
  <si>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</si>
  <si>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</si>
  <si>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</si>
  <si>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</si>
  <si>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</si>
  <si>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</si>
  <si>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</si>
  <si>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</si>
  <si>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</si>
  <si>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</si>
  <si>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</si>
  <si>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</si>
  <si>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</si>
  <si>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</si>
  <si>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</si>
  <si>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</si>
  <si>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</si>
  <si>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</si>
  <si>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</si>
  <si>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</si>
  <si>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</si>
  <si>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</si>
  <si>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</si>
  <si>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</si>
  <si>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</si>
  <si>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</si>
  <si>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</si>
  <si>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</si>
  <si>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</si>
  <si>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</si>
  <si>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</si>
  <si>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</si>
  <si>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</si>
  <si>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</si>
  <si>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</si>
  <si>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</si>
  <si>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</si>
  <si>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</si>
  <si>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</si>
  <si>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</si>
  <si>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</si>
  <si>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</si>
  <si>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</si>
  <si>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</si>
  <si>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</si>
  <si>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</si>
  <si>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</si>
  <si>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</si>
  <si>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</si>
  <si>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0339169; 0340699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</si>
  <si>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</si>
  <si>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</si>
  <si>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</si>
  <si>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</si>
  <si>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</si>
  <si>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</si>
  <si>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</si>
  <si>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</si>
  <si>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</si>
  <si>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</si>
  <si>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</si>
  <si>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</si>
  <si>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</si>
  <si>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</si>
  <si>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0399916; 0385624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</si>
  <si>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</si>
  <si>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</si>
  <si>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</si>
  <si>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</si>
  <si>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</si>
  <si>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</si>
  <si>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</si>
  <si>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</si>
  <si>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</si>
  <si>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</si>
  <si>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</si>
  <si>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</si>
  <si>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</si>
  <si>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</si>
  <si>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</si>
  <si>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</si>
  <si>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</si>
  <si>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</si>
  <si>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</si>
  <si>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SX TM DV Hoàng Bình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</si>
  <si>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</si>
  <si>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</si>
  <si>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</si>
  <si>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</si>
  <si>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</si>
  <si>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</si>
  <si>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Cty TNHH Chánh Kiệt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</si>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</sst>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0" fillId="0" borderId="0"/>
  </cellStyleXfs>
  <cellXfs count="106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5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1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2" fillId="0" borderId="2" xfId="93" applyFont="1" applyBorder="1" applyAlignment="1">
      <alignment horizontal="center" vertical="center"/>
    </xf>
    <xf numFmtId="164" fontId="82" fillId="0" borderId="2" xfId="94" applyNumberFormat="1" applyFont="1" applyBorder="1" applyAlignment="1">
      <alignment horizontal="center" vertical="center"/>
    </xf>
    <xf numFmtId="0" fontId="82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3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2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2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2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0" fontId="76" fillId="0" borderId="0" xfId="93" applyFont="1" applyAlignment="1">
      <alignment vertical="center" wrapText="1"/>
    </xf>
    <xf numFmtId="0" fontId="8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8" fillId="0" borderId="0" xfId="29" applyNumberFormat="1" applyFont="1" applyAlignment="1">
      <alignment vertical="center"/>
    </xf>
    <xf numFmtId="41" fontId="78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67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6" fillId="0" borderId="0" xfId="85" applyFont="1" applyAlignment="1">
      <alignment vertical="center"/>
    </xf>
    <xf numFmtId="0" fontId="86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164" fontId="88" fillId="0" borderId="0" xfId="77" applyNumberFormat="1" applyFont="1" applyAlignment="1">
      <alignment vertical="center"/>
    </xf>
    <xf numFmtId="164" fontId="89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0" fillId="0" borderId="0" xfId="77" applyFont="1" applyFill="1" applyBorder="1" applyAlignment="1" applyProtection="1">
      <alignment horizontal="left" vertical="center"/>
      <protection hidden="1"/>
    </xf>
    <xf numFmtId="0" fontId="91" fillId="0" borderId="0" xfId="80" applyFont="1" applyAlignment="1" applyProtection="1">
      <alignment vertical="center"/>
      <protection hidden="1"/>
    </xf>
    <xf numFmtId="0" fontId="90" fillId="0" borderId="0" xfId="80" applyFont="1" applyAlignment="1" applyProtection="1">
      <alignment horizontal="center" vertical="center"/>
      <protection hidden="1"/>
    </xf>
    <xf numFmtId="0" fontId="91" fillId="0" borderId="0" xfId="80" applyFont="1" applyFill="1" applyBorder="1" applyAlignment="1" applyProtection="1">
      <alignment vertical="center"/>
      <protection hidden="1"/>
    </xf>
    <xf numFmtId="164" fontId="92" fillId="0" borderId="0" xfId="77" applyNumberFormat="1" applyFont="1" applyBorder="1" applyAlignment="1" applyProtection="1">
      <alignment vertical="center"/>
      <protection hidden="1"/>
    </xf>
    <xf numFmtId="0" fontId="90" fillId="0" borderId="0" xfId="80" applyFont="1" applyAlignment="1" applyProtection="1">
      <alignment vertical="center"/>
      <protection hidden="1"/>
    </xf>
    <xf numFmtId="0" fontId="91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93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1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1" fillId="0" borderId="19" xfId="98" applyFont="1" applyFill="1" applyBorder="1" applyAlignment="1">
      <alignment vertical="center"/>
    </xf>
    <xf numFmtId="164" fontId="81" fillId="29" borderId="19" xfId="29" applyNumberFormat="1" applyFont="1" applyFill="1" applyBorder="1" applyAlignment="1">
      <alignment horizontal="right" vertical="center"/>
    </xf>
    <xf numFmtId="164" fontId="81" fillId="0" borderId="19" xfId="29" applyNumberFormat="1" applyFont="1" applyBorder="1" applyAlignment="1">
      <alignment vertical="center"/>
    </xf>
    <xf numFmtId="164" fontId="81" fillId="0" borderId="19" xfId="29" applyNumberFormat="1" applyFont="1" applyFill="1" applyBorder="1" applyAlignment="1">
      <alignment vertical="center"/>
    </xf>
    <xf numFmtId="43" fontId="81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9" fillId="0" borderId="2" xfId="98" applyFont="1" applyBorder="1" applyAlignment="1">
      <alignment vertical="center" wrapText="1"/>
    </xf>
    <xf numFmtId="0" fontId="34" fillId="0" borderId="12" xfId="97" applyFont="1" applyBorder="1" applyAlignment="1">
      <alignment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9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6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91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8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8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8" fillId="0" borderId="0" xfId="78" applyFont="1" applyAlignment="1">
      <alignment horizontal="center" vertical="center"/>
    </xf>
    <xf numFmtId="0" fontId="78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6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52%20-%20155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NK-SC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</row>
        <row r="57">
          <cell r="A57" t="str">
            <v>5112X</v>
          </cell>
          <cell r="B57" t="str">
            <v xml:space="preserve"> Doanh Thu Bán Thành Phẩm hàng XK </v>
          </cell>
        </row>
        <row r="58">
          <cell r="A58" t="str">
            <v>5112</v>
          </cell>
          <cell r="B58" t="str">
            <v xml:space="preserve"> Doanh Thu Bán Các Thành Phẩm 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</row>
        <row r="60">
          <cell r="A60" t="str">
            <v>515</v>
          </cell>
          <cell r="B60" t="str">
            <v xml:space="preserve"> Doanh thu hoạt động tài chính </v>
          </cell>
        </row>
        <row r="61">
          <cell r="A61" t="str">
            <v>632</v>
          </cell>
          <cell r="B61" t="str">
            <v xml:space="preserve"> Giá vốn hàng bán </v>
          </cell>
        </row>
        <row r="62">
          <cell r="A62" t="str">
            <v>635</v>
          </cell>
          <cell r="B62" t="str">
            <v xml:space="preserve"> Chi phí tài chính </v>
          </cell>
        </row>
        <row r="63">
          <cell r="A63" t="str">
            <v>641</v>
          </cell>
          <cell r="B63" t="str">
            <v xml:space="preserve"> Chi Phí bán hàng </v>
          </cell>
        </row>
        <row r="64">
          <cell r="A64" t="str">
            <v>642</v>
          </cell>
          <cell r="B64" t="str">
            <v xml:space="preserve"> Chi phí quản lý doanh nghiệp </v>
          </cell>
        </row>
        <row r="65">
          <cell r="A65" t="str">
            <v>711</v>
          </cell>
          <cell r="B65" t="str">
            <v xml:space="preserve"> Thu Nhập Khác </v>
          </cell>
        </row>
        <row r="66">
          <cell r="A66" t="str">
            <v>811</v>
          </cell>
          <cell r="B66" t="str">
            <v xml:space="preserve"> Chi phí khác </v>
          </cell>
        </row>
        <row r="67">
          <cell r="A67" t="str">
            <v>821</v>
          </cell>
          <cell r="B67" t="str">
            <v xml:space="preserve"> Chi phí thuế thu nhập doanh nghiệp </v>
          </cell>
        </row>
        <row r="68">
          <cell r="A68" t="str">
            <v>911</v>
          </cell>
          <cell r="B68" t="str">
            <v xml:space="preserve"> Xác định kết quả kinh doanh 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7"/>
  <sheetViews>
    <sheetView tabSelected="1" topLeftCell="A6" workbookViewId="0">
      <pane ySplit="4" topLeftCell="A10" activePane="bottomLeft" state="frozen"/>
      <selection activeCell="A6" sqref="A6"/>
      <selection pane="bottomLeft" activeCell="A43" sqref="A43:XFD46"/>
    </sheetView>
  </sheetViews>
  <sheetFormatPr defaultColWidth="8" defaultRowHeight="12.75"/>
  <cols>
    <col min="1" max="1" width="5.7109375" style="624" customWidth="1"/>
    <col min="2" max="2" width="36.85546875" style="624" customWidth="1"/>
    <col min="3" max="4" width="11.28515625" style="158" customWidth="1"/>
    <col min="5" max="6" width="14.7109375" style="624" customWidth="1"/>
    <col min="7" max="8" width="13.85546875" style="624" customWidth="1"/>
    <col min="9" max="9" width="2.42578125" style="624" customWidth="1"/>
    <col min="10" max="10" width="11" style="624" customWidth="1"/>
    <col min="11" max="11" width="2.85546875" style="624" customWidth="1"/>
    <col min="12" max="12" width="11.85546875" style="624" customWidth="1"/>
    <col min="13" max="16384" width="8" style="624"/>
  </cols>
  <sheetData>
    <row r="1" spans="1:16">
      <c r="A1" s="623"/>
      <c r="B1" s="623"/>
    </row>
    <row r="2" spans="1:16">
      <c r="A2" s="623" t="str">
        <f>TH!A1</f>
        <v>Đơn vị: CÔNG TY TNHH MỘT THÀNH VIÊN KHỞI NGUYÊN AN</v>
      </c>
      <c r="B2" s="623"/>
    </row>
    <row r="3" spans="1:16">
      <c r="A3" s="624" t="str">
        <f>TH!A2</f>
        <v>Địa chỉ: Thửa đất số 144, tờ bản đồ số 12TĐH.1, tổ 1, khu phố Đông Tác, Phường Tân Đông Hiệp, Thị Xã Dĩ An, Tỉnh Bình Dương, Việt Nam</v>
      </c>
      <c r="B3" s="623"/>
    </row>
    <row r="5" spans="1:16" ht="36" customHeight="1">
      <c r="A5" s="625"/>
      <c r="B5" s="625"/>
      <c r="C5" s="626"/>
      <c r="D5" s="627" t="s">
        <v>366</v>
      </c>
      <c r="E5" s="625"/>
      <c r="F5" s="625"/>
      <c r="G5" s="625"/>
      <c r="H5" s="625"/>
    </row>
    <row r="6" spans="1:16" ht="15.75">
      <c r="A6" s="625"/>
      <c r="B6" s="625"/>
      <c r="C6" s="626"/>
      <c r="D6" s="651" t="s">
        <v>619</v>
      </c>
      <c r="E6" s="625"/>
      <c r="F6" s="625"/>
      <c r="G6" s="625"/>
      <c r="H6" s="625"/>
    </row>
    <row r="7" spans="1:16" ht="6.75" customHeight="1"/>
    <row r="8" spans="1:16" ht="21.75" customHeight="1">
      <c r="A8" s="861" t="s">
        <v>584</v>
      </c>
      <c r="B8" s="861" t="s">
        <v>364</v>
      </c>
      <c r="C8" s="857" t="s">
        <v>37</v>
      </c>
      <c r="D8" s="858"/>
      <c r="E8" s="857" t="s">
        <v>38</v>
      </c>
      <c r="F8" s="858"/>
      <c r="G8" s="857" t="s">
        <v>365</v>
      </c>
      <c r="H8" s="858"/>
    </row>
    <row r="9" spans="1:16" ht="21.75" customHeight="1">
      <c r="A9" s="862"/>
      <c r="B9" s="862"/>
      <c r="C9" s="622" t="s">
        <v>42</v>
      </c>
      <c r="D9" s="622" t="s">
        <v>43</v>
      </c>
      <c r="E9" s="622" t="s">
        <v>42</v>
      </c>
      <c r="F9" s="622" t="s">
        <v>43</v>
      </c>
      <c r="G9" s="622" t="s">
        <v>42</v>
      </c>
      <c r="H9" s="622" t="s">
        <v>43</v>
      </c>
    </row>
    <row r="10" spans="1:16" s="158" customFormat="1" ht="17.25" customHeight="1">
      <c r="A10" s="628" t="s">
        <v>47</v>
      </c>
      <c r="B10" s="629" t="s">
        <v>48</v>
      </c>
      <c r="C10" s="630"/>
      <c r="D10" s="630"/>
      <c r="E10" s="630">
        <f t="array" ref="E10">SUM(IF(A10=KHN,TH))</f>
        <v>2593900000</v>
      </c>
      <c r="F10" s="630">
        <f t="array" ref="F10">SUM(IF(A10=KHC,TH))</f>
        <v>258744075</v>
      </c>
      <c r="G10" s="631">
        <f>MAX(C10+E10-D10-F10,0)</f>
        <v>2335155925</v>
      </c>
      <c r="H10" s="631">
        <f>MAX(D10+F10-E10-C10,0)</f>
        <v>0</v>
      </c>
      <c r="J10" s="624"/>
      <c r="K10" s="624"/>
      <c r="L10" s="624"/>
      <c r="M10" s="624"/>
      <c r="N10" s="624"/>
      <c r="O10" s="624"/>
      <c r="P10" s="624"/>
    </row>
    <row r="11" spans="1:16" s="158" customFormat="1" ht="17.25" customHeight="1">
      <c r="A11" s="633" t="s">
        <v>16</v>
      </c>
      <c r="B11" s="633" t="s">
        <v>49</v>
      </c>
      <c r="C11" s="634">
        <f t="shared" ref="C11:H11" si="0">C10</f>
        <v>0</v>
      </c>
      <c r="D11" s="634">
        <f t="shared" si="0"/>
        <v>0</v>
      </c>
      <c r="E11" s="634">
        <f t="shared" si="0"/>
        <v>2593900000</v>
      </c>
      <c r="F11" s="634">
        <f t="shared" si="0"/>
        <v>258744075</v>
      </c>
      <c r="G11" s="634">
        <f t="shared" si="0"/>
        <v>2335155925</v>
      </c>
      <c r="H11" s="634">
        <f t="shared" si="0"/>
        <v>0</v>
      </c>
      <c r="J11" s="624"/>
      <c r="K11" s="624"/>
      <c r="L11" s="624"/>
      <c r="M11" s="624"/>
      <c r="N11" s="624"/>
      <c r="O11" s="624"/>
      <c r="P11" s="624"/>
    </row>
    <row r="12" spans="1:16" s="158" customFormat="1" ht="17.25" customHeight="1">
      <c r="A12" s="629" t="s">
        <v>24</v>
      </c>
      <c r="B12" s="629" t="s">
        <v>50</v>
      </c>
      <c r="C12" s="630"/>
      <c r="D12" s="630">
        <v>0</v>
      </c>
      <c r="E12" s="630">
        <f t="array" ref="E12">SUM(IF(A12=KHN,TH))</f>
        <v>95086769</v>
      </c>
      <c r="F12" s="630">
        <f t="array" ref="F12">SUM(IF(A12=KHC,TH))</f>
        <v>93977000</v>
      </c>
      <c r="G12" s="631">
        <f>MAX(C12+E12-D12-F12,0)</f>
        <v>1109769</v>
      </c>
      <c r="H12" s="631">
        <f>MAX(D12+F12-E12-C12,0)</f>
        <v>0</v>
      </c>
      <c r="K12" s="632"/>
      <c r="L12" s="632"/>
      <c r="M12" s="632"/>
    </row>
    <row r="13" spans="1:16" s="158" customFormat="1" ht="17.25" customHeight="1">
      <c r="A13" s="633" t="s">
        <v>51</v>
      </c>
      <c r="B13" s="633" t="s">
        <v>52</v>
      </c>
      <c r="C13" s="634">
        <f t="shared" ref="C13:H13" si="1">C12</f>
        <v>0</v>
      </c>
      <c r="D13" s="634">
        <f t="shared" si="1"/>
        <v>0</v>
      </c>
      <c r="E13" s="634">
        <f t="shared" si="1"/>
        <v>95086769</v>
      </c>
      <c r="F13" s="634">
        <f t="shared" si="1"/>
        <v>93977000</v>
      </c>
      <c r="G13" s="634">
        <f t="shared" si="1"/>
        <v>1109769</v>
      </c>
      <c r="H13" s="634">
        <f t="shared" si="1"/>
        <v>0</v>
      </c>
    </row>
    <row r="14" spans="1:16" s="158" customFormat="1" ht="17.25" customHeight="1">
      <c r="A14" s="633" t="s">
        <v>269</v>
      </c>
      <c r="B14" s="633" t="s">
        <v>287</v>
      </c>
      <c r="C14" s="634"/>
      <c r="D14" s="634"/>
      <c r="E14" s="635">
        <f t="array" ref="E14">SUM(IF(A14=KHN,TH))</f>
        <v>0</v>
      </c>
      <c r="F14" s="635">
        <f t="array" ref="F14">SUM(IF(A14=KHC,TH))</f>
        <v>94032408</v>
      </c>
      <c r="G14" s="634">
        <f>MAX(C14+E14-D14-F14,0)</f>
        <v>0</v>
      </c>
      <c r="H14" s="634">
        <f>MAX(D14+F14-E14-C14,0)</f>
        <v>94032408</v>
      </c>
    </row>
    <row r="15" spans="1:16" s="158" customFormat="1" ht="17.25" customHeight="1">
      <c r="A15" s="629" t="s">
        <v>9</v>
      </c>
      <c r="B15" s="629" t="s">
        <v>53</v>
      </c>
      <c r="C15" s="630"/>
      <c r="D15" s="630"/>
      <c r="E15" s="630">
        <f t="array" ref="E15">SUM(IF(A15=KHN,TH))</f>
        <v>22848895</v>
      </c>
      <c r="F15" s="630">
        <f t="array" ref="F15">SUM(IF(A15=KHC,TH))</f>
        <v>0</v>
      </c>
      <c r="G15" s="631">
        <f>MAX(C15+E15-D15-F15,0)</f>
        <v>22848895</v>
      </c>
      <c r="H15" s="631">
        <f>MAX(D15+F15-E15-C15,0)</f>
        <v>0</v>
      </c>
    </row>
    <row r="16" spans="1:16" s="158" customFormat="1" ht="17.25" customHeight="1">
      <c r="A16" s="633" t="s">
        <v>54</v>
      </c>
      <c r="B16" s="633" t="s">
        <v>55</v>
      </c>
      <c r="C16" s="634">
        <f t="shared" ref="C16:H16" si="2">C15</f>
        <v>0</v>
      </c>
      <c r="D16" s="634">
        <f t="shared" si="2"/>
        <v>0</v>
      </c>
      <c r="E16" s="634">
        <f t="shared" si="2"/>
        <v>22848895</v>
      </c>
      <c r="F16" s="634">
        <f t="shared" si="2"/>
        <v>0</v>
      </c>
      <c r="G16" s="634">
        <f t="shared" si="2"/>
        <v>22848895</v>
      </c>
      <c r="H16" s="634">
        <f t="shared" si="2"/>
        <v>0</v>
      </c>
    </row>
    <row r="17" spans="1:8" s="158" customFormat="1" ht="17.25" customHeight="1">
      <c r="A17" s="629" t="s">
        <v>56</v>
      </c>
      <c r="B17" s="629" t="s">
        <v>57</v>
      </c>
      <c r="C17" s="630"/>
      <c r="D17" s="630"/>
      <c r="E17" s="630">
        <f t="array" ref="E17">SUM(IF(A17=KHN,TH))</f>
        <v>0</v>
      </c>
      <c r="F17" s="630">
        <f t="array" ref="F17">SUM(IF(A17=KHC,TH))</f>
        <v>0</v>
      </c>
      <c r="G17" s="631">
        <f t="shared" ref="G17:G39" si="3">MAX(C17+E17-D17-F17,0)</f>
        <v>0</v>
      </c>
      <c r="H17" s="631">
        <f t="shared" ref="H17:H39" si="4">MAX(D17+F17-E17-C17,0)</f>
        <v>0</v>
      </c>
    </row>
    <row r="18" spans="1:8" s="158" customFormat="1" ht="17.25" customHeight="1">
      <c r="A18" s="633" t="s">
        <v>58</v>
      </c>
      <c r="B18" s="633" t="s">
        <v>59</v>
      </c>
      <c r="C18" s="634">
        <f>C17</f>
        <v>0</v>
      </c>
      <c r="D18" s="634">
        <f>D17</f>
        <v>0</v>
      </c>
      <c r="E18" s="634">
        <f>E17</f>
        <v>0</v>
      </c>
      <c r="F18" s="634">
        <f>F17</f>
        <v>0</v>
      </c>
      <c r="G18" s="634">
        <f t="shared" si="3"/>
        <v>0</v>
      </c>
      <c r="H18" s="634">
        <f t="shared" si="4"/>
        <v>0</v>
      </c>
    </row>
    <row r="19" spans="1:8" s="158" customFormat="1" ht="17.25" customHeight="1">
      <c r="A19" s="642" t="s">
        <v>443</v>
      </c>
      <c r="B19" s="633" t="s">
        <v>444</v>
      </c>
      <c r="C19" s="634"/>
      <c r="D19" s="634">
        <v>0</v>
      </c>
      <c r="E19" s="635">
        <f t="array" ref="E19">SUM(IF(A19=KHN,TH))</f>
        <v>0</v>
      </c>
      <c r="F19" s="635">
        <f t="array" ref="F19">SUM(IF(A19=KHC,TH))</f>
        <v>0</v>
      </c>
      <c r="G19" s="634">
        <f t="shared" si="3"/>
        <v>0</v>
      </c>
      <c r="H19" s="634">
        <f t="shared" si="4"/>
        <v>0</v>
      </c>
    </row>
    <row r="20" spans="1:8" s="158" customFormat="1" ht="17.25" customHeight="1">
      <c r="A20" s="629" t="s">
        <v>159</v>
      </c>
      <c r="B20" s="629" t="s">
        <v>160</v>
      </c>
      <c r="C20" s="630"/>
      <c r="D20" s="630"/>
      <c r="E20" s="630">
        <f t="array" ref="E20">SUM(IF(A20=KHN,TH))</f>
        <v>0</v>
      </c>
      <c r="F20" s="630">
        <f t="array" ref="F20">SUM(IF(A20=KHC,TH))</f>
        <v>0</v>
      </c>
      <c r="G20" s="631">
        <f t="shared" si="3"/>
        <v>0</v>
      </c>
      <c r="H20" s="631">
        <f t="shared" si="4"/>
        <v>0</v>
      </c>
    </row>
    <row r="21" spans="1:8" s="158" customFormat="1" ht="17.25" customHeight="1">
      <c r="A21" s="629" t="s">
        <v>161</v>
      </c>
      <c r="B21" s="629" t="s">
        <v>162</v>
      </c>
      <c r="C21" s="630"/>
      <c r="D21" s="630"/>
      <c r="E21" s="630">
        <f t="array" ref="E21">SUM(IF(A21=KHN,TH))</f>
        <v>0</v>
      </c>
      <c r="F21" s="630">
        <f t="array" ref="F21">SUM(IF(A21=KHC,TH))</f>
        <v>0</v>
      </c>
      <c r="G21" s="630">
        <f t="shared" si="3"/>
        <v>0</v>
      </c>
      <c r="H21" s="630">
        <f t="shared" si="4"/>
        <v>0</v>
      </c>
    </row>
    <row r="22" spans="1:8" s="158" customFormat="1" ht="17.25" customHeight="1">
      <c r="A22" s="633" t="s">
        <v>163</v>
      </c>
      <c r="B22" s="633" t="s">
        <v>164</v>
      </c>
      <c r="C22" s="634">
        <f>C20+C21</f>
        <v>0</v>
      </c>
      <c r="D22" s="634">
        <f>D20+D21</f>
        <v>0</v>
      </c>
      <c r="E22" s="634">
        <f>E20+E21</f>
        <v>0</v>
      </c>
      <c r="F22" s="634">
        <f>F20+F21</f>
        <v>0</v>
      </c>
      <c r="G22" s="634">
        <f t="shared" si="3"/>
        <v>0</v>
      </c>
      <c r="H22" s="634">
        <f t="shared" si="4"/>
        <v>0</v>
      </c>
    </row>
    <row r="23" spans="1:8" s="158" customFormat="1" ht="17.25" customHeight="1">
      <c r="A23" s="633" t="s">
        <v>165</v>
      </c>
      <c r="B23" s="633" t="s">
        <v>166</v>
      </c>
      <c r="C23" s="634"/>
      <c r="D23" s="634">
        <v>0</v>
      </c>
      <c r="E23" s="635">
        <f t="array" ref="E23">SUM(IF(A23=KHN,TH))</f>
        <v>0</v>
      </c>
      <c r="F23" s="635">
        <f t="array" ref="F23">SUM(IF(A23=KHC,TH))</f>
        <v>0</v>
      </c>
      <c r="G23" s="634">
        <f t="shared" si="3"/>
        <v>0</v>
      </c>
      <c r="H23" s="634">
        <f t="shared" si="4"/>
        <v>0</v>
      </c>
    </row>
    <row r="24" spans="1:8" s="158" customFormat="1" ht="17.25" customHeight="1">
      <c r="A24" s="633" t="s">
        <v>167</v>
      </c>
      <c r="B24" s="633" t="s">
        <v>168</v>
      </c>
      <c r="C24" s="634"/>
      <c r="D24" s="634">
        <v>0</v>
      </c>
      <c r="E24" s="635">
        <f t="array" ref="E24">SUM(IF(A24=KHN,TH))</f>
        <v>9350500</v>
      </c>
      <c r="F24" s="635">
        <f t="array" ref="F24">SUM(IF(A24=KHC,TH))</f>
        <v>0</v>
      </c>
      <c r="G24" s="634">
        <f t="shared" si="3"/>
        <v>9350500</v>
      </c>
      <c r="H24" s="634">
        <f t="shared" si="4"/>
        <v>0</v>
      </c>
    </row>
    <row r="25" spans="1:8" s="158" customFormat="1" ht="17.25" customHeight="1">
      <c r="A25" s="642" t="s">
        <v>617</v>
      </c>
      <c r="B25" s="633" t="s">
        <v>618</v>
      </c>
      <c r="C25" s="634"/>
      <c r="D25" s="634"/>
      <c r="E25" s="635">
        <f t="array" ref="E25">SUM(IF(A25=KHN,TH))</f>
        <v>192756702</v>
      </c>
      <c r="F25" s="635">
        <f t="array" ref="F25">SUM(IF(A25=KHC,TH))</f>
        <v>0</v>
      </c>
      <c r="G25" s="634">
        <f t="shared" si="3"/>
        <v>192756702</v>
      </c>
      <c r="H25" s="634">
        <f t="shared" si="4"/>
        <v>0</v>
      </c>
    </row>
    <row r="26" spans="1:8" s="158" customFormat="1" ht="17.25" hidden="1" customHeight="1">
      <c r="A26" s="636" t="s">
        <v>169</v>
      </c>
      <c r="B26" s="637" t="s">
        <v>170</v>
      </c>
      <c r="C26" s="638"/>
      <c r="D26" s="638"/>
      <c r="E26" s="630">
        <f t="array" ref="E26">SUM(IF(A26=KHN,TH))</f>
        <v>0</v>
      </c>
      <c r="F26" s="630">
        <f t="array" ref="F26">SUM(IF(A26=KHC,TH))</f>
        <v>0</v>
      </c>
      <c r="G26" s="638">
        <f t="shared" si="3"/>
        <v>0</v>
      </c>
      <c r="H26" s="638">
        <f t="shared" si="4"/>
        <v>0</v>
      </c>
    </row>
    <row r="27" spans="1:8" s="158" customFormat="1" ht="17.25" customHeight="1">
      <c r="A27" s="639" t="s">
        <v>171</v>
      </c>
      <c r="B27" s="640" t="s">
        <v>172</v>
      </c>
      <c r="C27" s="641"/>
      <c r="D27" s="641"/>
      <c r="E27" s="630">
        <f t="array" ref="E27">SUM(IF(A27=KHN,TH))</f>
        <v>0</v>
      </c>
      <c r="F27" s="630">
        <f t="array" ref="F27">SUM(IF(A27=KHC,TH))</f>
        <v>0</v>
      </c>
      <c r="G27" s="641">
        <f t="shared" si="3"/>
        <v>0</v>
      </c>
      <c r="H27" s="641">
        <f t="shared" si="4"/>
        <v>0</v>
      </c>
    </row>
    <row r="28" spans="1:8" s="158" customFormat="1" ht="17.25" hidden="1" customHeight="1">
      <c r="A28" s="639" t="s">
        <v>173</v>
      </c>
      <c r="B28" s="640" t="s">
        <v>174</v>
      </c>
      <c r="C28" s="641"/>
      <c r="D28" s="641"/>
      <c r="E28" s="630">
        <f t="array" ref="E28">SUM(IF(A28=KHN,TH))</f>
        <v>0</v>
      </c>
      <c r="F28" s="630">
        <f t="array" ref="F28">SUM(IF(A28=KHC,TH))</f>
        <v>0</v>
      </c>
      <c r="G28" s="641">
        <f t="shared" si="3"/>
        <v>0</v>
      </c>
      <c r="H28" s="641">
        <f t="shared" si="4"/>
        <v>0</v>
      </c>
    </row>
    <row r="29" spans="1:8" s="158" customFormat="1" ht="17.25" customHeight="1">
      <c r="A29" s="633" t="s">
        <v>175</v>
      </c>
      <c r="B29" s="633" t="s">
        <v>176</v>
      </c>
      <c r="C29" s="634">
        <f t="shared" ref="C29:H29" si="5">SUM(C26:C28)</f>
        <v>0</v>
      </c>
      <c r="D29" s="634">
        <f t="shared" si="5"/>
        <v>0</v>
      </c>
      <c r="E29" s="634">
        <f t="shared" si="5"/>
        <v>0</v>
      </c>
      <c r="F29" s="634">
        <f t="shared" si="5"/>
        <v>0</v>
      </c>
      <c r="G29" s="634">
        <f t="shared" si="5"/>
        <v>0</v>
      </c>
      <c r="H29" s="634">
        <f t="shared" si="5"/>
        <v>0</v>
      </c>
    </row>
    <row r="30" spans="1:8" s="158" customFormat="1" ht="17.25" hidden="1" customHeight="1">
      <c r="A30" s="639" t="s">
        <v>279</v>
      </c>
      <c r="B30" s="640" t="s">
        <v>280</v>
      </c>
      <c r="C30" s="641"/>
      <c r="D30" s="641"/>
      <c r="E30" s="630">
        <f t="array" ref="E30">SUM(IF(A30=KHN,TH))</f>
        <v>0</v>
      </c>
      <c r="F30" s="630">
        <f t="array" ref="F30">SUM(IF(A30=KHC,TH))</f>
        <v>0</v>
      </c>
      <c r="G30" s="641">
        <f>MAX(C30+E30-D30-F30,0)</f>
        <v>0</v>
      </c>
      <c r="H30" s="641">
        <f>MAX(D30+F30-E30-C30,0)</f>
        <v>0</v>
      </c>
    </row>
    <row r="31" spans="1:8" s="158" customFormat="1" ht="17.25" hidden="1" customHeight="1">
      <c r="A31" s="642" t="s">
        <v>281</v>
      </c>
      <c r="B31" s="633" t="s">
        <v>282</v>
      </c>
      <c r="C31" s="634">
        <f t="shared" ref="C31:H31" si="6">C30</f>
        <v>0</v>
      </c>
      <c r="D31" s="634">
        <f t="shared" si="6"/>
        <v>0</v>
      </c>
      <c r="E31" s="634">
        <f t="shared" si="6"/>
        <v>0</v>
      </c>
      <c r="F31" s="634">
        <f t="shared" si="6"/>
        <v>0</v>
      </c>
      <c r="G31" s="634">
        <f t="shared" si="6"/>
        <v>0</v>
      </c>
      <c r="H31" s="634">
        <f t="shared" si="6"/>
        <v>0</v>
      </c>
    </row>
    <row r="32" spans="1:8" s="158" customFormat="1" ht="17.25" customHeight="1">
      <c r="A32" s="629" t="s">
        <v>271</v>
      </c>
      <c r="B32" s="629" t="s">
        <v>283</v>
      </c>
      <c r="C32" s="630"/>
      <c r="D32" s="630"/>
      <c r="E32" s="630">
        <f t="array" ref="E32">SUM(IF(A32=KHN,TH))</f>
        <v>0</v>
      </c>
      <c r="F32" s="630">
        <f t="array" ref="F32">SUM(IF(A32=KHC,TH))</f>
        <v>0</v>
      </c>
      <c r="G32" s="630">
        <f>MAX(C32+E32-D32-F32,0)</f>
        <v>0</v>
      </c>
      <c r="H32" s="630">
        <f>MAX(D32+F32-E32-C32,0)</f>
        <v>0</v>
      </c>
    </row>
    <row r="33" spans="1:8" s="158" customFormat="1" ht="17.25" hidden="1" customHeight="1">
      <c r="A33" s="628" t="s">
        <v>270</v>
      </c>
      <c r="B33" s="629" t="s">
        <v>284</v>
      </c>
      <c r="C33" s="630"/>
      <c r="D33" s="630"/>
      <c r="E33" s="630">
        <f t="array" ref="E33">SUM(IF(A33=KHN,TH))</f>
        <v>0</v>
      </c>
      <c r="F33" s="630">
        <f t="array" ref="F33">SUM(IF(A33=KHC,TH))</f>
        <v>0</v>
      </c>
      <c r="G33" s="630">
        <f>MAX(C33+E33-D33-F33,0)</f>
        <v>0</v>
      </c>
      <c r="H33" s="630">
        <f>MAX(D33+F33-E33-C33,0)</f>
        <v>0</v>
      </c>
    </row>
    <row r="34" spans="1:8" s="158" customFormat="1" ht="17.25" customHeight="1">
      <c r="A34" s="633" t="s">
        <v>285</v>
      </c>
      <c r="B34" s="633" t="s">
        <v>286</v>
      </c>
      <c r="C34" s="634">
        <f t="shared" ref="C34:H34" si="7">C32+C33</f>
        <v>0</v>
      </c>
      <c r="D34" s="634">
        <f t="shared" si="7"/>
        <v>0</v>
      </c>
      <c r="E34" s="634">
        <f t="shared" si="7"/>
        <v>0</v>
      </c>
      <c r="F34" s="634">
        <f t="shared" si="7"/>
        <v>0</v>
      </c>
      <c r="G34" s="634">
        <f t="shared" si="7"/>
        <v>0</v>
      </c>
      <c r="H34" s="634">
        <f t="shared" si="7"/>
        <v>0</v>
      </c>
    </row>
    <row r="35" spans="1:8" s="158" customFormat="1" ht="17.25" customHeight="1">
      <c r="A35" s="633" t="s">
        <v>8</v>
      </c>
      <c r="B35" s="633" t="s">
        <v>60</v>
      </c>
      <c r="C35" s="634"/>
      <c r="D35" s="634"/>
      <c r="E35" s="635">
        <f t="array" ref="E35">SUM(IF(A35=KHN,TH))</f>
        <v>212032372</v>
      </c>
      <c r="F35" s="635">
        <f t="array" ref="F35">SUM(IF(A35=KHC,TH))</f>
        <v>212032372</v>
      </c>
      <c r="G35" s="634">
        <f t="shared" si="3"/>
        <v>0</v>
      </c>
      <c r="H35" s="634">
        <f t="shared" si="4"/>
        <v>0</v>
      </c>
    </row>
    <row r="36" spans="1:8" s="158" customFormat="1" ht="17.25" customHeight="1">
      <c r="A36" s="643" t="s">
        <v>423</v>
      </c>
      <c r="B36" s="629" t="s">
        <v>422</v>
      </c>
      <c r="C36" s="630"/>
      <c r="D36" s="630"/>
      <c r="E36" s="630">
        <f t="array" ref="E36">SUM(IF(A36=KHN,TH))</f>
        <v>0</v>
      </c>
      <c r="F36" s="630">
        <f t="array" ref="F36">SUM(IF(A36=KHC,TH))</f>
        <v>0</v>
      </c>
      <c r="G36" s="630">
        <f t="shared" ref="G36" si="8">MAX(C36+E36-D36-F36,0)</f>
        <v>0</v>
      </c>
      <c r="H36" s="630">
        <f t="shared" ref="H36" si="9">MAX(D36+F36-E36-C36,0)</f>
        <v>0</v>
      </c>
    </row>
    <row r="37" spans="1:8" s="158" customFormat="1" ht="17.25" customHeight="1">
      <c r="A37" s="629" t="s">
        <v>61</v>
      </c>
      <c r="B37" s="629" t="s">
        <v>62</v>
      </c>
      <c r="C37" s="630"/>
      <c r="D37" s="630"/>
      <c r="E37" s="630">
        <f t="array" ref="E37">SUM(IF(A37=KHN,TH))</f>
        <v>0</v>
      </c>
      <c r="F37" s="630">
        <f t="array" ref="F37">SUM(IF(A37=KHC,TH))</f>
        <v>0</v>
      </c>
      <c r="G37" s="630">
        <f t="shared" si="3"/>
        <v>0</v>
      </c>
      <c r="H37" s="630">
        <f t="shared" si="4"/>
        <v>0</v>
      </c>
    </row>
    <row r="38" spans="1:8" s="158" customFormat="1" ht="17.25" customHeight="1">
      <c r="A38" s="629" t="s">
        <v>277</v>
      </c>
      <c r="B38" s="629" t="s">
        <v>278</v>
      </c>
      <c r="C38" s="630"/>
      <c r="D38" s="630"/>
      <c r="E38" s="630">
        <f t="array" ref="E38">SUM(IF(A38=KHN,TH))</f>
        <v>0</v>
      </c>
      <c r="F38" s="630">
        <f t="array" ref="F38">SUM(IF(A38=KHC,TH))</f>
        <v>0</v>
      </c>
      <c r="G38" s="630">
        <f t="shared" si="3"/>
        <v>0</v>
      </c>
      <c r="H38" s="630">
        <f t="shared" si="4"/>
        <v>0</v>
      </c>
    </row>
    <row r="39" spans="1:8" s="158" customFormat="1" ht="17.25" customHeight="1">
      <c r="A39" s="643" t="s">
        <v>63</v>
      </c>
      <c r="B39" s="644" t="s">
        <v>64</v>
      </c>
      <c r="C39" s="645"/>
      <c r="D39" s="645"/>
      <c r="E39" s="645">
        <f t="array" ref="E39">SUM(IF(A39=KHN,TH))</f>
        <v>750000</v>
      </c>
      <c r="F39" s="645">
        <f t="array" ref="F39">SUM(IF(A39=KHC,TH))</f>
        <v>750000</v>
      </c>
      <c r="G39" s="645">
        <f t="shared" si="3"/>
        <v>0</v>
      </c>
      <c r="H39" s="645">
        <f t="shared" si="4"/>
        <v>0</v>
      </c>
    </row>
    <row r="40" spans="1:8" s="158" customFormat="1" ht="17.25" customHeight="1">
      <c r="A40" s="629" t="s">
        <v>18</v>
      </c>
      <c r="B40" s="629" t="s">
        <v>65</v>
      </c>
      <c r="C40" s="630">
        <f>C39</f>
        <v>0</v>
      </c>
      <c r="D40" s="630">
        <f t="shared" ref="D40:H40" si="10">D39</f>
        <v>0</v>
      </c>
      <c r="E40" s="630">
        <f t="shared" si="10"/>
        <v>750000</v>
      </c>
      <c r="F40" s="630">
        <f t="shared" si="10"/>
        <v>750000</v>
      </c>
      <c r="G40" s="630">
        <f t="shared" si="10"/>
        <v>0</v>
      </c>
      <c r="H40" s="630">
        <f t="shared" si="10"/>
        <v>0</v>
      </c>
    </row>
    <row r="41" spans="1:8" s="158" customFormat="1" ht="17.25" customHeight="1">
      <c r="A41" s="633" t="s">
        <v>66</v>
      </c>
      <c r="B41" s="633" t="s">
        <v>67</v>
      </c>
      <c r="C41" s="634">
        <f>C37+C40+C38+C36</f>
        <v>0</v>
      </c>
      <c r="D41" s="634">
        <f t="shared" ref="D41:H41" si="11">D37+D40+D38+D36</f>
        <v>0</v>
      </c>
      <c r="E41" s="634">
        <f t="shared" si="11"/>
        <v>750000</v>
      </c>
      <c r="F41" s="634">
        <f t="shared" si="11"/>
        <v>750000</v>
      </c>
      <c r="G41" s="634">
        <f t="shared" si="11"/>
        <v>0</v>
      </c>
      <c r="H41" s="634">
        <f t="shared" si="11"/>
        <v>0</v>
      </c>
    </row>
    <row r="42" spans="1:8" s="158" customFormat="1" ht="17.25" customHeight="1">
      <c r="A42" s="629" t="s">
        <v>273</v>
      </c>
      <c r="B42" s="629" t="s">
        <v>274</v>
      </c>
      <c r="C42" s="630">
        <v>0</v>
      </c>
      <c r="D42" s="630">
        <v>0</v>
      </c>
      <c r="E42" s="630">
        <f t="array" ref="E42">SUM(IF(A42=KHN,TH))</f>
        <v>0</v>
      </c>
      <c r="F42" s="630">
        <f t="array" ref="F42">SUM(IF(A42=KHC,TH))</f>
        <v>0</v>
      </c>
      <c r="G42" s="630">
        <f t="shared" ref="G42:G44" si="12">MAX(C42+E42-D42-F42,0)</f>
        <v>0</v>
      </c>
      <c r="H42" s="630">
        <f t="shared" ref="H42:H44" si="13">MAX(D42+F42-E42-C42,0)</f>
        <v>0</v>
      </c>
    </row>
    <row r="43" spans="1:8" s="158" customFormat="1" ht="17.25" customHeight="1">
      <c r="A43" s="633" t="s">
        <v>275</v>
      </c>
      <c r="B43" s="633" t="s">
        <v>276</v>
      </c>
      <c r="C43" s="634">
        <f>C42</f>
        <v>0</v>
      </c>
      <c r="D43" s="634">
        <f>D42</f>
        <v>0</v>
      </c>
      <c r="E43" s="634">
        <f>E42</f>
        <v>0</v>
      </c>
      <c r="F43" s="634">
        <f>F42</f>
        <v>0</v>
      </c>
      <c r="G43" s="634">
        <f t="shared" si="12"/>
        <v>0</v>
      </c>
      <c r="H43" s="634">
        <f t="shared" si="13"/>
        <v>0</v>
      </c>
    </row>
    <row r="44" spans="1:8" s="158" customFormat="1" ht="17.25" customHeight="1">
      <c r="A44" s="629" t="s">
        <v>17</v>
      </c>
      <c r="B44" s="629" t="s">
        <v>68</v>
      </c>
      <c r="C44" s="630"/>
      <c r="D44" s="630"/>
      <c r="E44" s="630">
        <f t="array" ref="E44">SUM(IF(A44=KHN,TH))</f>
        <v>871742</v>
      </c>
      <c r="F44" s="630">
        <f t="array" ref="F44">SUM(IF(A44=KHC,TH))</f>
        <v>0</v>
      </c>
      <c r="G44" s="630">
        <f t="shared" si="12"/>
        <v>871742</v>
      </c>
      <c r="H44" s="630">
        <f t="shared" si="13"/>
        <v>0</v>
      </c>
    </row>
    <row r="45" spans="1:8" s="158" customFormat="1" ht="17.25" customHeight="1">
      <c r="A45" s="633" t="s">
        <v>69</v>
      </c>
      <c r="B45" s="633" t="s">
        <v>70</v>
      </c>
      <c r="C45" s="634">
        <f t="shared" ref="C45:H45" si="14">SUM(C44:C44)</f>
        <v>0</v>
      </c>
      <c r="D45" s="634">
        <f t="shared" si="14"/>
        <v>0</v>
      </c>
      <c r="E45" s="634">
        <f t="shared" si="14"/>
        <v>871742</v>
      </c>
      <c r="F45" s="634">
        <f t="shared" si="14"/>
        <v>0</v>
      </c>
      <c r="G45" s="634">
        <f t="shared" si="14"/>
        <v>871742</v>
      </c>
      <c r="H45" s="634">
        <f t="shared" si="14"/>
        <v>0</v>
      </c>
    </row>
    <row r="46" spans="1:8" s="158" customFormat="1" ht="17.25" customHeight="1">
      <c r="A46" s="629" t="s">
        <v>25</v>
      </c>
      <c r="B46" s="629" t="s">
        <v>71</v>
      </c>
      <c r="C46" s="630"/>
      <c r="D46" s="630"/>
      <c r="E46" s="630">
        <f t="array" ref="E46">SUM(IF(A46=KHN,TH))</f>
        <v>0</v>
      </c>
      <c r="F46" s="630">
        <f t="array" ref="F46">SUM(IF(A46=KHC,TH))</f>
        <v>2500000000</v>
      </c>
      <c r="G46" s="631">
        <f>MAX(C46+E46-D46-F46,0)</f>
        <v>0</v>
      </c>
      <c r="H46" s="631">
        <f>MAX(D46+F46-E46-C46,0)</f>
        <v>2500000000</v>
      </c>
    </row>
    <row r="47" spans="1:8" s="158" customFormat="1" ht="17.25" customHeight="1">
      <c r="A47" s="633" t="s">
        <v>72</v>
      </c>
      <c r="B47" s="633" t="s">
        <v>73</v>
      </c>
      <c r="C47" s="634">
        <v>0</v>
      </c>
      <c r="D47" s="634">
        <f>D46</f>
        <v>0</v>
      </c>
      <c r="E47" s="634">
        <f>E46</f>
        <v>0</v>
      </c>
      <c r="F47" s="634">
        <f>F46</f>
        <v>2500000000</v>
      </c>
      <c r="G47" s="634">
        <f>MAX(C47+E47-D47-F47,0)</f>
        <v>0</v>
      </c>
      <c r="H47" s="634">
        <f>MAX(D47+F47-E47-C47,0)</f>
        <v>2500000000</v>
      </c>
    </row>
    <row r="48" spans="1:8" s="158" customFormat="1" ht="17.25" customHeight="1">
      <c r="A48" s="628" t="s">
        <v>74</v>
      </c>
      <c r="B48" s="629" t="s">
        <v>75</v>
      </c>
      <c r="C48" s="630"/>
      <c r="D48" s="630"/>
      <c r="E48" s="630">
        <f t="array" ref="E48">SUM(IF(A48=KHN,TH))</f>
        <v>0</v>
      </c>
      <c r="F48" s="630">
        <f t="array" ref="F48">SUM(IF(A48=KHC,TH))</f>
        <v>0</v>
      </c>
      <c r="G48" s="631">
        <f>MAX(C48+E48-D48-F48,0)</f>
        <v>0</v>
      </c>
      <c r="H48" s="631">
        <f>MAX(D48+F48-E48-C48,0)</f>
        <v>0</v>
      </c>
    </row>
    <row r="49" spans="1:10" s="158" customFormat="1" ht="17.25" customHeight="1">
      <c r="A49" s="629" t="s">
        <v>76</v>
      </c>
      <c r="B49" s="629" t="s">
        <v>77</v>
      </c>
      <c r="C49" s="630"/>
      <c r="D49" s="630"/>
      <c r="E49" s="630">
        <f t="array" ref="E49">SUM(IF(A49=TH!$L$10:$L$518,TH!$K$10:$K$518))</f>
        <v>0</v>
      </c>
      <c r="F49" s="630">
        <f t="array" ref="F49">SUM(IF(A49=TH!$M$10:$M$518,TH!$K$10:$K$518))</f>
        <v>0</v>
      </c>
      <c r="G49" s="630">
        <f>MAX(C49+E49-D49-F49,0)</f>
        <v>0</v>
      </c>
      <c r="H49" s="630">
        <f>MAX(D49+F49-E49-C49,0)</f>
        <v>0</v>
      </c>
      <c r="J49" s="284"/>
    </row>
    <row r="50" spans="1:10" s="158" customFormat="1" ht="17.25" customHeight="1">
      <c r="A50" s="633" t="s">
        <v>78</v>
      </c>
      <c r="B50" s="633" t="s">
        <v>79</v>
      </c>
      <c r="C50" s="634">
        <f t="shared" ref="C50:H50" si="15">C49+C48</f>
        <v>0</v>
      </c>
      <c r="D50" s="634">
        <f t="shared" si="15"/>
        <v>0</v>
      </c>
      <c r="E50" s="634">
        <f t="shared" si="15"/>
        <v>0</v>
      </c>
      <c r="F50" s="634">
        <f t="shared" si="15"/>
        <v>0</v>
      </c>
      <c r="G50" s="634">
        <f t="shared" si="15"/>
        <v>0</v>
      </c>
      <c r="H50" s="634">
        <f t="shared" si="15"/>
        <v>0</v>
      </c>
    </row>
    <row r="51" spans="1:10" s="158" customFormat="1" ht="17.25" customHeight="1">
      <c r="A51" s="628" t="s">
        <v>609</v>
      </c>
      <c r="B51" s="629" t="s">
        <v>610</v>
      </c>
      <c r="C51" s="631"/>
      <c r="D51" s="631"/>
      <c r="E51" s="631">
        <f t="array" ref="E51">SUM(IF(A51=KHN,TH))</f>
        <v>0</v>
      </c>
      <c r="F51" s="631">
        <f t="array" ref="F51">SUM(IF(A51=KHC,TH))</f>
        <v>0</v>
      </c>
      <c r="G51" s="631"/>
      <c r="H51" s="631"/>
      <c r="I51" s="158">
        <f>E51-F51</f>
        <v>0</v>
      </c>
    </row>
    <row r="52" spans="1:10" s="158" customFormat="1" ht="17.25" customHeight="1">
      <c r="A52" s="628" t="s">
        <v>179</v>
      </c>
      <c r="B52" s="629" t="s">
        <v>611</v>
      </c>
      <c r="C52" s="630"/>
      <c r="D52" s="630"/>
      <c r="E52" s="630">
        <f t="array" ref="E52">SUM(IF(A52=KHN,TH))</f>
        <v>0</v>
      </c>
      <c r="F52" s="630">
        <f t="array" ref="F52">SUM(IF(A52=KHC,TH))</f>
        <v>0</v>
      </c>
      <c r="G52" s="630"/>
      <c r="H52" s="630"/>
      <c r="I52" s="158">
        <f>E52-F52</f>
        <v>0</v>
      </c>
    </row>
    <row r="53" spans="1:10" s="158" customFormat="1" ht="17.25" customHeight="1">
      <c r="A53" s="633" t="s">
        <v>180</v>
      </c>
      <c r="B53" s="633" t="s">
        <v>181</v>
      </c>
      <c r="C53" s="634">
        <f>C51+C52</f>
        <v>0</v>
      </c>
      <c r="D53" s="634">
        <f t="shared" ref="D53:H53" si="16">D51+D52</f>
        <v>0</v>
      </c>
      <c r="E53" s="634">
        <f t="shared" si="16"/>
        <v>0</v>
      </c>
      <c r="F53" s="634">
        <f t="shared" si="16"/>
        <v>0</v>
      </c>
      <c r="G53" s="634">
        <f t="shared" si="16"/>
        <v>0</v>
      </c>
      <c r="H53" s="634">
        <f t="shared" si="16"/>
        <v>0</v>
      </c>
      <c r="I53" s="158">
        <f>E53-F53</f>
        <v>0</v>
      </c>
    </row>
    <row r="54" spans="1:10" s="158" customFormat="1" ht="17.25" customHeight="1">
      <c r="A54" s="633" t="s">
        <v>40</v>
      </c>
      <c r="B54" s="633" t="s">
        <v>80</v>
      </c>
      <c r="C54" s="634"/>
      <c r="D54" s="634"/>
      <c r="E54" s="635">
        <f t="array" ref="E54">SUM(IF(A54=KHN,TH))</f>
        <v>54361</v>
      </c>
      <c r="F54" s="635">
        <f t="array" ref="F54">SUM(IF(A54=KHC,TH))</f>
        <v>54361</v>
      </c>
      <c r="G54" s="634"/>
      <c r="H54" s="634"/>
      <c r="I54" s="158">
        <f t="shared" ref="I54:I62" si="17">E54-F54</f>
        <v>0</v>
      </c>
    </row>
    <row r="55" spans="1:10" s="158" customFormat="1" ht="17.25" customHeight="1">
      <c r="A55" s="633" t="s">
        <v>177</v>
      </c>
      <c r="B55" s="633" t="s">
        <v>178</v>
      </c>
      <c r="C55" s="634"/>
      <c r="D55" s="634"/>
      <c r="E55" s="635">
        <f t="array" ref="E55">SUM(IF(A55=KHN,TH))</f>
        <v>0</v>
      </c>
      <c r="F55" s="635">
        <f t="array" ref="F55">SUM(IF(A55=KHC,TH))</f>
        <v>0</v>
      </c>
      <c r="G55" s="634"/>
      <c r="H55" s="634"/>
      <c r="I55" s="158">
        <f t="shared" si="17"/>
        <v>0</v>
      </c>
    </row>
    <row r="56" spans="1:10" s="158" customFormat="1" ht="17.25" customHeight="1">
      <c r="A56" s="633" t="s">
        <v>81</v>
      </c>
      <c r="B56" s="633" t="s">
        <v>82</v>
      </c>
      <c r="C56" s="634"/>
      <c r="D56" s="634"/>
      <c r="E56" s="635">
        <f t="array" ref="E56">SUM(IF(A56=KHN,TH))</f>
        <v>0</v>
      </c>
      <c r="F56" s="635">
        <f t="array" ref="F56">SUM(IF(A56=KHC,TH))</f>
        <v>0</v>
      </c>
      <c r="G56" s="634"/>
      <c r="H56" s="634"/>
      <c r="I56" s="158">
        <f t="shared" si="17"/>
        <v>0</v>
      </c>
    </row>
    <row r="57" spans="1:10" s="158" customFormat="1" ht="17.25" customHeight="1">
      <c r="A57" s="642" t="s">
        <v>272</v>
      </c>
      <c r="B57" s="633" t="s">
        <v>345</v>
      </c>
      <c r="C57" s="634"/>
      <c r="D57" s="634"/>
      <c r="E57" s="635">
        <f t="array" ref="E57">SUM(IF(A57=KHN,TH))</f>
        <v>0</v>
      </c>
      <c r="F57" s="635">
        <f t="array" ref="F57">SUM(IF(A57=KHC,TH))</f>
        <v>0</v>
      </c>
      <c r="G57" s="634"/>
      <c r="H57" s="634"/>
      <c r="I57" s="158">
        <f>E57-F57</f>
        <v>0</v>
      </c>
    </row>
    <row r="58" spans="1:10" s="158" customFormat="1" ht="17.25" customHeight="1">
      <c r="A58" s="633" t="s">
        <v>83</v>
      </c>
      <c r="B58" s="633" t="s">
        <v>84</v>
      </c>
      <c r="C58" s="634"/>
      <c r="D58" s="634"/>
      <c r="E58" s="635">
        <f t="array" ref="E58">SUM(IF(A58=KHN,TH))</f>
        <v>31993236</v>
      </c>
      <c r="F58" s="635">
        <f t="array" ref="F58">SUM(IF(A58=KHC,TH))</f>
        <v>31993236</v>
      </c>
      <c r="G58" s="634"/>
      <c r="H58" s="634"/>
      <c r="I58" s="158">
        <f t="shared" si="17"/>
        <v>0</v>
      </c>
    </row>
    <row r="59" spans="1:10" s="158" customFormat="1" ht="17.25" customHeight="1">
      <c r="A59" s="642" t="s">
        <v>85</v>
      </c>
      <c r="B59" s="633" t="s">
        <v>86</v>
      </c>
      <c r="C59" s="634"/>
      <c r="D59" s="634"/>
      <c r="E59" s="635">
        <f t="array" ref="E59">SUM(IF(A59=KHN,TH))</f>
        <v>0</v>
      </c>
      <c r="F59" s="635">
        <f t="array" ref="F59">SUM(IF(A59=KHC,TH))</f>
        <v>0</v>
      </c>
      <c r="G59" s="634"/>
      <c r="H59" s="634"/>
      <c r="I59" s="158">
        <f t="shared" si="17"/>
        <v>0</v>
      </c>
    </row>
    <row r="60" spans="1:10" s="158" customFormat="1" ht="17.25" customHeight="1">
      <c r="A60" s="633" t="s">
        <v>87</v>
      </c>
      <c r="B60" s="633" t="s">
        <v>88</v>
      </c>
      <c r="C60" s="634"/>
      <c r="D60" s="634"/>
      <c r="E60" s="635">
        <f t="array" ref="E60">SUM(IF(A60=KHN,TH))</f>
        <v>0</v>
      </c>
      <c r="F60" s="635">
        <f t="array" ref="F60">SUM(IF(A60=KHC,TH))</f>
        <v>0</v>
      </c>
      <c r="G60" s="634"/>
      <c r="H60" s="634"/>
      <c r="I60" s="158">
        <f t="shared" si="17"/>
        <v>0</v>
      </c>
    </row>
    <row r="61" spans="1:10" s="158" customFormat="1" ht="17.25" customHeight="1">
      <c r="A61" s="642" t="s">
        <v>89</v>
      </c>
      <c r="B61" s="633" t="s">
        <v>90</v>
      </c>
      <c r="C61" s="634"/>
      <c r="D61" s="634"/>
      <c r="E61" s="635">
        <f t="array" ref="E61">SUM(IF(A61=KHN,TH))</f>
        <v>0</v>
      </c>
      <c r="F61" s="635">
        <f t="array" ref="F61">SUM(IF(A61=KHC,TH))</f>
        <v>0</v>
      </c>
      <c r="G61" s="634"/>
      <c r="H61" s="634"/>
      <c r="I61" s="158">
        <f t="shared" si="17"/>
        <v>0</v>
      </c>
    </row>
    <row r="62" spans="1:10" s="158" customFormat="1" ht="17.25" customHeight="1">
      <c r="A62" s="633" t="s">
        <v>91</v>
      </c>
      <c r="B62" s="633" t="s">
        <v>92</v>
      </c>
      <c r="C62" s="634"/>
      <c r="D62" s="634"/>
      <c r="E62" s="646">
        <f t="array" ref="E62">SUM(IF(A62=KHN,TH))</f>
        <v>31993236</v>
      </c>
      <c r="F62" s="646">
        <f t="array" ref="F62">SUM(IF(A62=TH!$M$10:$M$518,TH!$K$10:$K$518))</f>
        <v>54361</v>
      </c>
      <c r="G62" s="634"/>
      <c r="H62" s="634"/>
      <c r="I62" s="158">
        <f t="shared" si="17"/>
        <v>31938875</v>
      </c>
    </row>
    <row r="63" spans="1:10" s="158" customFormat="1" ht="17.25" customHeight="1">
      <c r="A63" s="859" t="s">
        <v>39</v>
      </c>
      <c r="B63" s="860"/>
      <c r="C63" s="647">
        <f>C11+C13+C14+C16+C18+C22+C23+C24+C25+C29+C34+C35+C41+C43+C45+C47+C50+C53+C54+C55+C56+C57+C58+C59+C60+C61+C62+C23+C31+C19</f>
        <v>0</v>
      </c>
      <c r="D63" s="647">
        <f t="shared" ref="D63:H63" si="18">D11+D13+D14+D16+D18+D22+D23+D24+D25+D29+D34+D35+D41+D43+D45+D47+D50+D53+D54+D55+D56+D57+D58+D59+D60+D61+D62+D23+D31+D19</f>
        <v>0</v>
      </c>
      <c r="E63" s="647">
        <f t="shared" si="18"/>
        <v>3191637813</v>
      </c>
      <c r="F63" s="647">
        <f t="shared" si="18"/>
        <v>3191637813</v>
      </c>
      <c r="G63" s="647">
        <f t="shared" si="18"/>
        <v>2562093533</v>
      </c>
      <c r="H63" s="647">
        <f t="shared" si="18"/>
        <v>2594032408</v>
      </c>
    </row>
    <row r="64" spans="1:10">
      <c r="E64" s="648"/>
      <c r="F64" s="649"/>
    </row>
    <row r="65" spans="5:8">
      <c r="E65" s="649"/>
      <c r="H65" s="649">
        <f>G63-H63</f>
        <v>-31938875</v>
      </c>
    </row>
    <row r="66" spans="5:8">
      <c r="E66" s="650"/>
      <c r="F66" s="650"/>
    </row>
    <row r="67" spans="5:8">
      <c r="E67" s="650"/>
      <c r="F67" s="650"/>
    </row>
  </sheetData>
  <mergeCells count="6">
    <mergeCell ref="G8:H8"/>
    <mergeCell ref="A63:B63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520"/>
  <sheetViews>
    <sheetView topLeftCell="A7" zoomScaleNormal="100" workbookViewId="0">
      <pane ySplit="3" topLeftCell="A145" activePane="bottomLeft" state="frozen"/>
      <selection activeCell="A7" sqref="A7"/>
      <selection pane="bottomLeft" activeCell="D160" sqref="D160:D161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201" customFormat="1" ht="15">
      <c r="A1" s="1" t="s">
        <v>603</v>
      </c>
      <c r="B1" s="31"/>
      <c r="C1" s="31"/>
      <c r="D1" s="32"/>
      <c r="E1" s="32"/>
      <c r="F1" s="33"/>
      <c r="G1" s="851"/>
      <c r="H1" s="54"/>
      <c r="I1" s="54"/>
      <c r="J1" s="54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201" customFormat="1" ht="15">
      <c r="A2" s="1" t="s">
        <v>602</v>
      </c>
      <c r="B2" s="31"/>
      <c r="C2" s="31"/>
      <c r="D2" s="32"/>
      <c r="E2" s="32"/>
      <c r="F2" s="32"/>
      <c r="G2" s="851"/>
      <c r="H2" s="55"/>
      <c r="I2" s="55"/>
      <c r="J2" s="55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201" customFormat="1">
      <c r="A3" s="196"/>
      <c r="B3" s="32"/>
      <c r="C3" s="32"/>
      <c r="D3" s="32"/>
      <c r="E3" s="32"/>
      <c r="F3" s="32"/>
      <c r="G3" s="851"/>
      <c r="H3" s="55"/>
      <c r="I3" s="55"/>
      <c r="J3" s="55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201" customFormat="1" ht="22.5">
      <c r="A4" s="196"/>
      <c r="B4" s="41"/>
      <c r="C4" s="864" t="s">
        <v>93</v>
      </c>
      <c r="D4" s="864"/>
      <c r="E4" s="864"/>
      <c r="F4" s="864"/>
      <c r="G4" s="864"/>
      <c r="H4" s="864"/>
      <c r="I4" s="864"/>
      <c r="J4" s="864"/>
      <c r="K4" s="864"/>
      <c r="L4" s="864"/>
      <c r="M4" s="864"/>
    </row>
    <row r="5" spans="1:27" s="201" customFormat="1" ht="14.25">
      <c r="A5" s="196"/>
      <c r="B5" s="41"/>
      <c r="C5" s="865"/>
      <c r="D5" s="865"/>
      <c r="E5" s="865"/>
      <c r="F5" s="865"/>
      <c r="G5" s="865"/>
      <c r="H5" s="865"/>
      <c r="I5" s="865"/>
      <c r="J5" s="865"/>
      <c r="K5" s="865"/>
      <c r="L5" s="865"/>
      <c r="M5" s="865"/>
    </row>
    <row r="6" spans="1:27" s="201" customFormat="1">
      <c r="A6" s="196"/>
      <c r="B6" s="41"/>
      <c r="C6" s="41"/>
      <c r="D6" s="41"/>
      <c r="E6" s="41"/>
      <c r="F6" s="41"/>
      <c r="G6" s="4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201" customFormat="1" ht="24.75" customHeight="1">
      <c r="A7" s="880" t="s">
        <v>117</v>
      </c>
      <c r="B7" s="872" t="s">
        <v>101</v>
      </c>
      <c r="C7" s="866" t="s">
        <v>20</v>
      </c>
      <c r="D7" s="868" t="s">
        <v>1</v>
      </c>
      <c r="E7" s="869"/>
      <c r="F7" s="866" t="s">
        <v>0</v>
      </c>
      <c r="G7" s="872" t="s">
        <v>116</v>
      </c>
      <c r="H7" s="882" t="s">
        <v>44</v>
      </c>
      <c r="I7" s="888" t="s">
        <v>268</v>
      </c>
      <c r="J7" s="889"/>
      <c r="K7" s="866" t="s">
        <v>157</v>
      </c>
      <c r="L7" s="870" t="s">
        <v>94</v>
      </c>
      <c r="M7" s="871"/>
      <c r="N7" s="886" t="s">
        <v>481</v>
      </c>
      <c r="O7" s="874" t="s">
        <v>47</v>
      </c>
      <c r="P7" s="875"/>
      <c r="Q7" s="876"/>
      <c r="R7" s="874" t="s">
        <v>51</v>
      </c>
      <c r="S7" s="875"/>
      <c r="T7" s="876"/>
      <c r="U7" s="886" t="s">
        <v>480</v>
      </c>
      <c r="V7" s="884" t="str">
        <f>CTTK!$E$7</f>
        <v>642</v>
      </c>
      <c r="W7" s="863" t="s">
        <v>163</v>
      </c>
      <c r="X7" s="863"/>
      <c r="Y7" s="863"/>
      <c r="Z7" s="863" t="s">
        <v>363</v>
      </c>
      <c r="AA7" s="814"/>
    </row>
    <row r="8" spans="1:27" s="201" customFormat="1" ht="24.75" customHeight="1">
      <c r="A8" s="881"/>
      <c r="B8" s="873"/>
      <c r="C8" s="867"/>
      <c r="D8" s="849" t="s">
        <v>15</v>
      </c>
      <c r="E8" s="848" t="s">
        <v>32</v>
      </c>
      <c r="F8" s="867"/>
      <c r="G8" s="873"/>
      <c r="H8" s="883"/>
      <c r="I8" s="847" t="s">
        <v>206</v>
      </c>
      <c r="J8" s="847" t="s">
        <v>207</v>
      </c>
      <c r="K8" s="867"/>
      <c r="L8" s="850" t="s">
        <v>22</v>
      </c>
      <c r="M8" s="850" t="s">
        <v>23</v>
      </c>
      <c r="N8" s="887"/>
      <c r="O8" s="877"/>
      <c r="P8" s="878"/>
      <c r="Q8" s="879"/>
      <c r="R8" s="877"/>
      <c r="S8" s="878"/>
      <c r="T8" s="879"/>
      <c r="U8" s="887"/>
      <c r="V8" s="885"/>
      <c r="W8" s="863"/>
      <c r="X8" s="863"/>
      <c r="Y8" s="863"/>
      <c r="Z8" s="863"/>
      <c r="AA8" s="814"/>
    </row>
    <row r="9" spans="1:27" s="201" customFormat="1">
      <c r="A9" s="197">
        <v>1</v>
      </c>
      <c r="B9" s="198">
        <v>2</v>
      </c>
      <c r="C9" s="197">
        <v>3</v>
      </c>
      <c r="D9" s="198">
        <v>4</v>
      </c>
      <c r="E9" s="197">
        <v>5</v>
      </c>
      <c r="F9" s="198">
        <v>6</v>
      </c>
      <c r="G9" s="197">
        <v>7</v>
      </c>
      <c r="H9" s="198">
        <v>8</v>
      </c>
      <c r="I9" s="197">
        <v>9</v>
      </c>
      <c r="J9" s="198">
        <v>10</v>
      </c>
      <c r="K9" s="197">
        <v>11</v>
      </c>
      <c r="L9" s="198">
        <v>12</v>
      </c>
      <c r="M9" s="197">
        <v>13</v>
      </c>
      <c r="N9" s="198">
        <v>16</v>
      </c>
      <c r="O9" s="199">
        <v>17</v>
      </c>
      <c r="P9" s="198">
        <v>18</v>
      </c>
      <c r="Q9" s="199">
        <v>19</v>
      </c>
      <c r="R9" s="198">
        <v>20</v>
      </c>
      <c r="S9" s="198"/>
      <c r="T9" s="198"/>
      <c r="U9" s="198">
        <v>26</v>
      </c>
      <c r="V9" s="199">
        <v>27</v>
      </c>
      <c r="W9" s="198">
        <v>19</v>
      </c>
      <c r="X9" s="198">
        <v>20</v>
      </c>
      <c r="Y9" s="198"/>
      <c r="Z9" s="198">
        <v>21</v>
      </c>
      <c r="AA9" s="815"/>
    </row>
    <row r="10" spans="1:27" s="686" customFormat="1" ht="15.75" customHeight="1">
      <c r="A10" s="846" t="str">
        <f>IF(B10&lt;&gt;"",IF(AND(B10&gt;=_TM1,B10&lt;=_TM2,OR(TH!L10="1111",TH!M10="1111")),TH!D10,""),"")</f>
        <v/>
      </c>
      <c r="B10" s="685">
        <f t="shared" ref="B10:B25" si="0">IF(C10&lt;&gt;"",MONTH(C10),"")</f>
        <v>12</v>
      </c>
      <c r="C10" s="46">
        <f t="shared" ref="C10:C22" si="1">E10</f>
        <v>41274</v>
      </c>
      <c r="D10" s="46" t="s">
        <v>95</v>
      </c>
      <c r="E10" s="46">
        <v>41274</v>
      </c>
      <c r="F10" s="47" t="s">
        <v>150</v>
      </c>
      <c r="G10" s="852"/>
      <c r="H10" s="48"/>
      <c r="I10" s="247"/>
      <c r="J10" s="247"/>
      <c r="K10" s="49">
        <f>CDPS!D49</f>
        <v>0</v>
      </c>
      <c r="L10" s="50" t="s">
        <v>76</v>
      </c>
      <c r="M10" s="50" t="s">
        <v>74</v>
      </c>
      <c r="N10" s="50" t="str">
        <f>IF(AND('331-CT'!$E$7=TH!H10,OR(L10="331",M10="331")),"331",IF(AND(OR(L10="131",M10="131"),H10='131-CT'!$E$7),"131",""))</f>
        <v/>
      </c>
      <c r="O10" s="50" t="str">
        <f>IF(AND($B10&gt;='111'!$N$11,$B10&lt;='111'!$O$11,OR($L10=$O$7,$M10=$O$7)),"x","")</f>
        <v/>
      </c>
      <c r="P10" s="50" t="str">
        <f>IF(AND($L10=$O$7,$B10&lt;'111'!$N$11),"x","")</f>
        <v/>
      </c>
      <c r="Q10" s="50" t="str">
        <f>IF(AND($M10=$O$7,$B10&lt;'111'!$N$11),"x","")</f>
        <v/>
      </c>
      <c r="R10" s="50" t="str">
        <f>IF(ISERROR(FIND('112'!$M$9,G10,1)),"",IF((AND(FIND('112'!$M$9,G10,1)&gt;=1,$B10&gt;='112'!$N$8,$B10&lt;='112'!$O$8,OR($L10='112'!$I$6,$M10='112'!$I$6))),"x",""))</f>
        <v/>
      </c>
      <c r="S10" s="50" t="str">
        <f>IF(ISERROR(FIND('112'!$M$9,G10,1)),"",IF((AND(LEFT(G10,2)=LEFT('112'!$M$9,2),B10&lt;'112'!$N$8,$L10='112'!$I$6)),"x",""))</f>
        <v/>
      </c>
      <c r="T10" s="50" t="str">
        <f>IF(ISERROR(FIND('112'!$M$9,G10,1)),"",IF((AND(RIGHT(G10,2)=RIGHT('112'!$M$9,2),B10&lt;'112'!$N$8,$M10='112'!$I$6)),"x",""))</f>
        <v/>
      </c>
      <c r="U10" s="50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0" t="str">
        <f>IF(OR(TH!L10=TH!$V$7,M10=TH!$V$7),"x","")</f>
        <v/>
      </c>
      <c r="W10" s="50" t="str">
        <f>IF(AND(B10&gt;='IN-NX'!$P$3,B10&lt;='IN-NX'!$Q$3,'IN-NX'!$D$7=D10,OR(LEFT(L10,2)="15",AND(LEFT(M10,2)&lt;&gt;"15",LEFT(M10,2)&lt;&gt;"33"))),"x","")</f>
        <v/>
      </c>
      <c r="X10" s="50" t="str">
        <f>IF(AND(OR(LEFT(TH!L10,2)="15",LEFT(TH!M10,2)="15"),'152-CT'!$J$8=TH!F10),"x","")</f>
        <v/>
      </c>
      <c r="Y10" s="50" t="str">
        <f>IF(AND(OR(LEFT(TH!L10,2)="15",LEFT(TH!M10,2)="15"),TK!$E$7=TH!F10),"x","")</f>
        <v/>
      </c>
      <c r="Z10" s="50" t="str">
        <f>IF(AND(B10&lt;=NKC!$N$8,B10&gt;=NKC!$M$8),"x","")</f>
        <v/>
      </c>
      <c r="AA10" s="816"/>
    </row>
    <row r="11" spans="1:27" s="686" customFormat="1" ht="15.75" customHeight="1">
      <c r="A11" s="846" t="str">
        <f>IF(B11&lt;&gt;"",IF(AND(B11&gt;=_TM1,B11&lt;=_TM2,OR(TH!L11="1111",TH!M11="1111")),TH!D11,""),"")</f>
        <v/>
      </c>
      <c r="B11" s="685">
        <f t="shared" si="0"/>
        <v>12</v>
      </c>
      <c r="C11" s="46">
        <f t="shared" si="1"/>
        <v>41274</v>
      </c>
      <c r="D11" s="46" t="s">
        <v>95</v>
      </c>
      <c r="E11" s="46">
        <v>41274</v>
      </c>
      <c r="F11" s="47" t="s">
        <v>291</v>
      </c>
      <c r="G11" s="852"/>
      <c r="H11" s="48"/>
      <c r="I11" s="247"/>
      <c r="J11" s="247"/>
      <c r="K11" s="49">
        <f>SUMIF(KHC,L11,TH)</f>
        <v>0</v>
      </c>
      <c r="L11" s="51" t="s">
        <v>423</v>
      </c>
      <c r="M11" s="50" t="s">
        <v>9</v>
      </c>
      <c r="N11" s="50" t="str">
        <f>IF(AND('331-CT'!$E$7=TH!H11,OR(L11="331",M11="331")),"331",IF(AND(OR(L11="131",M11="131"),H11='131-CT'!$E$7),"131",""))</f>
        <v/>
      </c>
      <c r="O11" s="50" t="str">
        <f>IF(AND($B11&gt;='111'!$N$11,$B11&lt;='111'!$O$11,OR($L11=$O$7,$M11=$O$7)),"x","")</f>
        <v/>
      </c>
      <c r="P11" s="50" t="str">
        <f>IF(AND($L11=$O$7,$B11&lt;'111'!$N$11),"x","")</f>
        <v/>
      </c>
      <c r="Q11" s="50" t="str">
        <f>IF(AND($M11=$O$7,$B11&lt;'111'!$N$11),"x","")</f>
        <v/>
      </c>
      <c r="R11" s="50" t="str">
        <f>IF(ISERROR(FIND('112'!$M$9,G11,1)),"",IF((AND(FIND('112'!$M$9,G11,1)&gt;=1,$B11&gt;='112'!$N$8,$B11&lt;='112'!$O$8,OR($L11='112'!$I$6,$M11='112'!$I$6))),"x",""))</f>
        <v/>
      </c>
      <c r="S11" s="50" t="str">
        <f>IF(ISERROR(FIND('112'!$M$9,G11,1)),"",IF((AND(LEFT(G11,2)=LEFT('112'!$M$9,2),B11&lt;'112'!$N$8,$L11='112'!$I$6)),"x",""))</f>
        <v/>
      </c>
      <c r="T11" s="50" t="str">
        <f>IF(ISERROR(FIND('112'!$M$9,G11,1)),"",IF((AND(RIGHT(G11,2)=RIGHT('112'!$M$9,2),B11&lt;'112'!$N$8,$M11='112'!$I$6)),"x",""))</f>
        <v/>
      </c>
      <c r="U11" s="50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0" t="str">
        <f>IF(OR(TH!L11=TH!$V$7,M11=TH!$V$7),"x","")</f>
        <v/>
      </c>
      <c r="W11" s="50" t="str">
        <f>IF(AND(B11&gt;='IN-NX'!$P$3,B11&lt;='IN-NX'!$Q$3,'IN-NX'!$D$7=D11,OR(LEFT(L11,2)="15",AND(LEFT(M11,2)&lt;&gt;"15",LEFT(M11,2)&lt;&gt;"33"))),"x","")</f>
        <v/>
      </c>
      <c r="X11" s="50" t="str">
        <f>IF(AND(OR(LEFT(TH!L11,2)="15",LEFT(TH!M11,2)="15"),'152-CT'!$J$8=TH!F11),"x","")</f>
        <v/>
      </c>
      <c r="Y11" s="50" t="str">
        <f>IF(AND(OR(LEFT(TH!L11,2)="15",LEFT(TH!M11,2)="15"),TK!$E$7=TH!F11),"x","")</f>
        <v/>
      </c>
      <c r="Z11" s="50" t="str">
        <f>IF(AND(B11&lt;=NKC!$N$8,B11&gt;=NKC!$M$8),"x","")</f>
        <v/>
      </c>
      <c r="AA11" s="816"/>
    </row>
    <row r="12" spans="1:27" s="686" customFormat="1" ht="15.75" customHeight="1">
      <c r="A12" s="846" t="str">
        <f>IF(B12&lt;&gt;"",IF(AND(B12&gt;=_TM1,B12&lt;=_TM2,OR(TH!L12="1111",TH!M12="1111")),TH!D12,""),"")</f>
        <v/>
      </c>
      <c r="B12" s="685">
        <f t="shared" si="0"/>
        <v>12</v>
      </c>
      <c r="C12" s="46">
        <f t="shared" si="1"/>
        <v>41274</v>
      </c>
      <c r="D12" s="46" t="s">
        <v>95</v>
      </c>
      <c r="E12" s="46">
        <v>41274</v>
      </c>
      <c r="F12" s="47" t="s">
        <v>292</v>
      </c>
      <c r="G12" s="852"/>
      <c r="H12" s="48"/>
      <c r="I12" s="247"/>
      <c r="J12" s="247"/>
      <c r="K12" s="49">
        <f>SUMIF(KHN,M12,TH)</f>
        <v>0</v>
      </c>
      <c r="L12" s="51" t="s">
        <v>91</v>
      </c>
      <c r="M12" s="50" t="s">
        <v>177</v>
      </c>
      <c r="N12" s="50" t="str">
        <f>IF(AND('331-CT'!$E$7=TH!H12,OR(L12="331",M12="331")),"331",IF(AND(OR(L12="131",M12="131"),H12='131-CT'!$E$7),"131",""))</f>
        <v/>
      </c>
      <c r="O12" s="50" t="str">
        <f>IF(AND($B12&gt;='111'!$N$11,$B12&lt;='111'!$O$11,OR($L12=$O$7,$M12=$O$7)),"x","")</f>
        <v/>
      </c>
      <c r="P12" s="50" t="str">
        <f>IF(AND($L12=$O$7,$B12&lt;'111'!$N$11),"x","")</f>
        <v/>
      </c>
      <c r="Q12" s="50" t="str">
        <f>IF(AND($M12=$O$7,$B12&lt;'111'!$N$11),"x","")</f>
        <v/>
      </c>
      <c r="R12" s="50" t="str">
        <f>IF(ISERROR(FIND('112'!$M$9,G12,1)),"",IF((AND(FIND('112'!$M$9,G12,1)&gt;=1,$B12&gt;='112'!$N$8,$B12&lt;='112'!$O$8,OR($L12='112'!$I$6,$M12='112'!$I$6))),"x",""))</f>
        <v/>
      </c>
      <c r="S12" s="50" t="str">
        <f>IF(ISERROR(FIND('112'!$M$9,G12,1)),"",IF((AND(LEFT(G12,2)=LEFT('112'!$M$9,2),B12&lt;'112'!$N$8,$L12='112'!$I$6)),"x",""))</f>
        <v/>
      </c>
      <c r="T12" s="50" t="str">
        <f>IF(ISERROR(FIND('112'!$M$9,G12,1)),"",IF((AND(RIGHT(G12,2)=RIGHT('112'!$M$9,2),B12&lt;'112'!$N$8,$M12='112'!$I$6)),"x",""))</f>
        <v/>
      </c>
      <c r="U12" s="50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0" t="str">
        <f>IF(OR(TH!L12=TH!$V$7,M12=TH!$V$7),"x","")</f>
        <v/>
      </c>
      <c r="W12" s="50" t="str">
        <f>IF(AND(B12&gt;='IN-NX'!$P$3,B12&lt;='IN-NX'!$Q$3,'IN-NX'!$D$7=D12,OR(LEFT(L12,2)="15",AND(LEFT(M12,2)&lt;&gt;"15",LEFT(M12,2)&lt;&gt;"33"))),"x","")</f>
        <v/>
      </c>
      <c r="X12" s="50" t="str">
        <f>IF(AND(OR(LEFT(TH!L12,2)="15",LEFT(TH!M12,2)="15"),'152-CT'!$J$8=TH!F12),"x","")</f>
        <v/>
      </c>
      <c r="Y12" s="50" t="str">
        <f>IF(AND(OR(LEFT(TH!L12,2)="15",LEFT(TH!M12,2)="15"),TK!$E$7=TH!F12),"x","")</f>
        <v/>
      </c>
      <c r="Z12" s="50" t="str">
        <f>IF(AND(B12&lt;=NKC!$N$8,B12&gt;=NKC!$M$8),"x","")</f>
        <v/>
      </c>
      <c r="AA12" s="816"/>
    </row>
    <row r="13" spans="1:27" s="686" customFormat="1" ht="15.75" customHeight="1">
      <c r="A13" s="846" t="str">
        <f>IF(B13&lt;&gt;"",IF(AND(B13&gt;=_TM1,B13&lt;=_TM2,OR(TH!L13="1111",TH!M13="1111")),TH!D13,""),"")</f>
        <v/>
      </c>
      <c r="B13" s="685">
        <f t="shared" si="0"/>
        <v>12</v>
      </c>
      <c r="C13" s="46">
        <f t="shared" si="1"/>
        <v>41274</v>
      </c>
      <c r="D13" s="46" t="s">
        <v>95</v>
      </c>
      <c r="E13" s="46">
        <v>41274</v>
      </c>
      <c r="F13" s="47" t="s">
        <v>96</v>
      </c>
      <c r="G13" s="852"/>
      <c r="H13" s="52"/>
      <c r="I13" s="248"/>
      <c r="J13" s="248"/>
      <c r="K13" s="49">
        <f>SUMIF(KHN,M13,TH)</f>
        <v>0</v>
      </c>
      <c r="L13" s="50" t="s">
        <v>91</v>
      </c>
      <c r="M13" s="50" t="s">
        <v>81</v>
      </c>
      <c r="N13" s="50" t="str">
        <f>IF(AND('331-CT'!$E$7=TH!H13,OR(L13="331",M13="331")),"331",IF(AND(OR(L13="131",M13="131"),H13='131-CT'!$E$7),"131",""))</f>
        <v/>
      </c>
      <c r="O13" s="50" t="str">
        <f>IF(AND($B13&gt;='111'!$N$11,$B13&lt;='111'!$O$11,OR($L13=$O$7,$M13=$O$7)),"x","")</f>
        <v/>
      </c>
      <c r="P13" s="50" t="str">
        <f>IF(AND($L13=$O$7,$B13&lt;'111'!$N$11),"x","")</f>
        <v/>
      </c>
      <c r="Q13" s="50" t="str">
        <f>IF(AND($M13=$O$7,$B13&lt;'111'!$N$11),"x","")</f>
        <v/>
      </c>
      <c r="R13" s="50" t="str">
        <f>IF(ISERROR(FIND('112'!$M$9,G13,1)),"",IF((AND(FIND('112'!$M$9,G13,1)&gt;=1,$B13&gt;='112'!$N$8,$B13&lt;='112'!$O$8,OR($L13='112'!$I$6,$M13='112'!$I$6))),"x",""))</f>
        <v/>
      </c>
      <c r="S13" s="50" t="str">
        <f>IF(ISERROR(FIND('112'!$M$9,G13,1)),"",IF((AND(LEFT(G13,2)=LEFT('112'!$M$9,2),B13&lt;'112'!$N$8,$L13='112'!$I$6)),"x",""))</f>
        <v/>
      </c>
      <c r="T13" s="50" t="str">
        <f>IF(ISERROR(FIND('112'!$M$9,G13,1)),"",IF((AND(RIGHT(G13,2)=RIGHT('112'!$M$9,2),B13&lt;'112'!$N$8,$M13='112'!$I$6)),"x",""))</f>
        <v/>
      </c>
      <c r="U13" s="50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0" t="str">
        <f>IF(OR(TH!L13=TH!$V$7,M13=TH!$V$7),"x","")</f>
        <v/>
      </c>
      <c r="W13" s="50" t="str">
        <f>IF(AND(B13&gt;='IN-NX'!$P$3,B13&lt;='IN-NX'!$Q$3,'IN-NX'!$D$7=D13,OR(LEFT(L13,2)="15",AND(LEFT(M13,2)&lt;&gt;"15",LEFT(M13,2)&lt;&gt;"33"))),"x","")</f>
        <v/>
      </c>
      <c r="X13" s="50" t="str">
        <f>IF(AND(OR(LEFT(TH!L13,2)="15",LEFT(TH!M13,2)="15"),'152-CT'!$J$8=TH!F13),"x","")</f>
        <v/>
      </c>
      <c r="Y13" s="50" t="str">
        <f>IF(AND(OR(LEFT(TH!L13,2)="15",LEFT(TH!M13,2)="15"),TK!$E$7=TH!F13),"x","")</f>
        <v/>
      </c>
      <c r="Z13" s="50" t="str">
        <f>IF(AND(B13&lt;=NKC!$N$8,B13&gt;=NKC!$M$8),"x","")</f>
        <v/>
      </c>
      <c r="AA13" s="816"/>
    </row>
    <row r="14" spans="1:27" s="686" customFormat="1" ht="15.75" customHeight="1">
      <c r="A14" s="846" t="str">
        <f>IF(B14&lt;&gt;"",IF(AND(B14&gt;=_TM1,B14&lt;=_TM2,OR(TH!L14="1111",TH!M14="1111")),TH!D14,""),"")</f>
        <v/>
      </c>
      <c r="B14" s="685">
        <f>IF(C14&lt;&gt;"",MONTH(C14),"")</f>
        <v>12</v>
      </c>
      <c r="C14" s="46">
        <f t="shared" ref="C14" si="2">E14</f>
        <v>41274</v>
      </c>
      <c r="D14" s="46" t="s">
        <v>95</v>
      </c>
      <c r="E14" s="46">
        <v>41274</v>
      </c>
      <c r="F14" s="47" t="s">
        <v>583</v>
      </c>
      <c r="G14" s="852"/>
      <c r="H14" s="48"/>
      <c r="I14" s="247"/>
      <c r="J14" s="247"/>
      <c r="K14" s="49">
        <f>SUMIF(KHN,M14,TH)</f>
        <v>0</v>
      </c>
      <c r="L14" s="50" t="s">
        <v>91</v>
      </c>
      <c r="M14" s="50" t="s">
        <v>89</v>
      </c>
      <c r="N14" s="50" t="str">
        <f>IF(AND('331-CT'!$E$7=TH!H14,OR(L14="331",M14="331")),"331",IF(AND(OR(L14="131",M14="131"),H14='131-CT'!$E$7),"131",""))</f>
        <v/>
      </c>
      <c r="O14" s="50" t="str">
        <f>IF(AND($B14&gt;='111'!$N$11,$B14&lt;='111'!$O$11,OR($L14=$O$7,$M14=$O$7)),"x","")</f>
        <v/>
      </c>
      <c r="P14" s="50" t="str">
        <f>IF(AND($L14=$O$7,$B14&lt;'111'!$N$11),"x","")</f>
        <v/>
      </c>
      <c r="Q14" s="50" t="str">
        <f>IF(AND($M14=$O$7,$B14&lt;'111'!$N$11),"x","")</f>
        <v/>
      </c>
      <c r="R14" s="50" t="str">
        <f>IF(ISERROR(FIND('112'!$M$9,G14,1)),"",IF((AND(FIND('112'!$M$9,G14,1)&gt;=1,$B14&gt;='112'!$N$8,$B14&lt;='112'!$O$8,OR($L14='112'!$I$6,$M14='112'!$I$6))),"x",""))</f>
        <v/>
      </c>
      <c r="S14" s="50" t="str">
        <f>IF(ISERROR(FIND('112'!$M$9,G14,1)),"",IF((AND(LEFT(G14,2)=LEFT('112'!$M$9,2),B14&lt;'112'!$N$8,$L14='112'!$I$6)),"x",""))</f>
        <v/>
      </c>
      <c r="T14" s="50" t="str">
        <f>IF(ISERROR(FIND('112'!$M$9,G14,1)),"",IF((AND(RIGHT(G14,2)=RIGHT('112'!$M$9,2),B14&lt;'112'!$N$8,$M14='112'!$I$6)),"x",""))</f>
        <v/>
      </c>
      <c r="U14" s="50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0" t="str">
        <f>IF(OR(TH!L14=TH!$V$7,M14=TH!$V$7),"x","")</f>
        <v/>
      </c>
      <c r="W14" s="50" t="str">
        <f>IF(AND(B14&gt;='IN-NX'!$P$3,B14&lt;='IN-NX'!$Q$3,'IN-NX'!$D$7=D14,OR(LEFT(L14,2)="15",AND(LEFT(M14,2)&lt;&gt;"15",LEFT(M14,2)&lt;&gt;"33"))),"x","")</f>
        <v/>
      </c>
      <c r="X14" s="50" t="str">
        <f>IF(AND(OR(LEFT(TH!L14,2)="15",LEFT(TH!M14,2)="15"),'152-CT'!$J$8=TH!F14),"x","")</f>
        <v/>
      </c>
      <c r="Y14" s="50" t="str">
        <f>IF(AND(OR(LEFT(TH!L14,2)="15",LEFT(TH!M14,2)="15"),TK!$E$7=TH!F14),"x","")</f>
        <v/>
      </c>
      <c r="Z14" s="50" t="str">
        <f>IF(AND(B14&lt;=NKC!$N$8,B14&gt;=NKC!$M$8),"x","")</f>
        <v/>
      </c>
      <c r="AA14" s="816"/>
    </row>
    <row r="15" spans="1:27" s="686" customFormat="1" ht="15.75" customHeight="1">
      <c r="A15" s="846" t="str">
        <f>IF(B15&lt;&gt;"",IF(AND(B15&gt;=_TM1,B15&lt;=_TM2,OR(TH!L15="1111",TH!M15="1111")),TH!D15,""),"")</f>
        <v/>
      </c>
      <c r="B15" s="685">
        <f t="shared" si="0"/>
        <v>12</v>
      </c>
      <c r="C15" s="46">
        <f t="shared" si="1"/>
        <v>41274</v>
      </c>
      <c r="D15" s="46" t="s">
        <v>95</v>
      </c>
      <c r="E15" s="46">
        <v>41274</v>
      </c>
      <c r="F15" s="47" t="s">
        <v>293</v>
      </c>
      <c r="G15" s="852"/>
      <c r="H15" s="48"/>
      <c r="I15" s="247"/>
      <c r="J15" s="247"/>
      <c r="K15" s="49">
        <f>SUMIF(KHN,M15,TH)</f>
        <v>0</v>
      </c>
      <c r="L15" s="50" t="s">
        <v>91</v>
      </c>
      <c r="M15" s="50" t="s">
        <v>272</v>
      </c>
      <c r="N15" s="50" t="str">
        <f>IF(AND('331-CT'!$E$7=TH!H15,OR(L15="331",M15="331")),"331",IF(AND(OR(L15="131",M15="131"),H15='131-CT'!$E$7),"131",""))</f>
        <v/>
      </c>
      <c r="O15" s="50" t="str">
        <f>IF(AND($B15&gt;='111'!$N$11,$B15&lt;='111'!$O$11,OR($L15=$O$7,$M15=$O$7)),"x","")</f>
        <v/>
      </c>
      <c r="P15" s="50" t="str">
        <f>IF(AND($L15=$O$7,$B15&lt;'111'!$N$11),"x","")</f>
        <v/>
      </c>
      <c r="Q15" s="50" t="str">
        <f>IF(AND($M15=$O$7,$B15&lt;'111'!$N$11),"x","")</f>
        <v/>
      </c>
      <c r="R15" s="50" t="str">
        <f>IF(ISERROR(FIND('112'!$M$9,G15,1)),"",IF((AND(FIND('112'!$M$9,G15,1)&gt;=1,$B15&gt;='112'!$N$8,$B15&lt;='112'!$O$8,OR($L15='112'!$I$6,$M15='112'!$I$6))),"x",""))</f>
        <v/>
      </c>
      <c r="S15" s="50" t="str">
        <f>IF(ISERROR(FIND('112'!$M$9,G15,1)),"",IF((AND(LEFT(G15,2)=LEFT('112'!$M$9,2),B15&lt;'112'!$N$8,$L15='112'!$I$6)),"x",""))</f>
        <v/>
      </c>
      <c r="T15" s="50" t="str">
        <f>IF(ISERROR(FIND('112'!$M$9,G15,1)),"",IF((AND(RIGHT(G15,2)=RIGHT('112'!$M$9,2),B15&lt;'112'!$N$8,$M15='112'!$I$6)),"x",""))</f>
        <v/>
      </c>
      <c r="U15" s="50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0" t="str">
        <f>IF(OR(TH!L15=TH!$V$7,M15=TH!$V$7),"x","")</f>
        <v/>
      </c>
      <c r="W15" s="50" t="str">
        <f>IF(AND(B15&gt;='IN-NX'!$P$3,B15&lt;='IN-NX'!$Q$3,'IN-NX'!$D$7=D15,OR(LEFT(L15,2)="15",AND(LEFT(M15,2)&lt;&gt;"15",LEFT(M15,2)&lt;&gt;"33"))),"x","")</f>
        <v/>
      </c>
      <c r="X15" s="50" t="str">
        <f>IF(AND(OR(LEFT(TH!L15,2)="15",LEFT(TH!M15,2)="15"),'152-CT'!$J$8=TH!F15),"x","")</f>
        <v/>
      </c>
      <c r="Y15" s="50" t="str">
        <f>IF(AND(OR(LEFT(TH!L15,2)="15",LEFT(TH!M15,2)="15"),TK!$E$7=TH!F15),"x","")</f>
        <v/>
      </c>
      <c r="Z15" s="50" t="str">
        <f>IF(AND(B15&lt;=NKC!$N$8,B15&gt;=NKC!$M$8),"x","")</f>
        <v/>
      </c>
      <c r="AA15" s="816"/>
    </row>
    <row r="16" spans="1:27" s="686" customFormat="1" ht="15.75" customHeight="1">
      <c r="A16" s="846" t="str">
        <f>IF(B16&lt;&gt;"",IF(AND(B16&gt;=_TM1,B16&lt;=_TM2,OR(TH!L16="1111",TH!M16="1111")),TH!D16,""),"")</f>
        <v/>
      </c>
      <c r="B16" s="685">
        <f t="shared" si="0"/>
        <v>12</v>
      </c>
      <c r="C16" s="46">
        <f t="shared" si="1"/>
        <v>41274</v>
      </c>
      <c r="D16" s="46" t="s">
        <v>95</v>
      </c>
      <c r="E16" s="46">
        <v>41274</v>
      </c>
      <c r="F16" s="47" t="s">
        <v>97</v>
      </c>
      <c r="G16" s="852"/>
      <c r="H16" s="48"/>
      <c r="I16" s="247"/>
      <c r="J16" s="247"/>
      <c r="K16" s="49">
        <f>SUMIF(KHN,M16,TH)</f>
        <v>31993236</v>
      </c>
      <c r="L16" s="50" t="s">
        <v>91</v>
      </c>
      <c r="M16" s="50" t="s">
        <v>83</v>
      </c>
      <c r="N16" s="50" t="str">
        <f>IF(AND('331-CT'!$E$7=TH!H16,OR(L16="331",M16="331")),"331",IF(AND(OR(L16="131",M16="131"),H16='131-CT'!$E$7),"131",""))</f>
        <v/>
      </c>
      <c r="O16" s="50" t="str">
        <f>IF(AND($B16&gt;='111'!$N$11,$B16&lt;='111'!$O$11,OR($L16=$O$7,$M16=$O$7)),"x","")</f>
        <v/>
      </c>
      <c r="P16" s="50" t="str">
        <f>IF(AND($L16=$O$7,$B16&lt;'111'!$N$11),"x","")</f>
        <v/>
      </c>
      <c r="Q16" s="50" t="str">
        <f>IF(AND($M16=$O$7,$B16&lt;'111'!$N$11),"x","")</f>
        <v/>
      </c>
      <c r="R16" s="50" t="str">
        <f>IF(ISERROR(FIND('112'!$M$9,G16,1)),"",IF((AND(FIND('112'!$M$9,G16,1)&gt;=1,$B16&gt;='112'!$N$8,$B16&lt;='112'!$O$8,OR($L16='112'!$I$6,$M16='112'!$I$6))),"x",""))</f>
        <v/>
      </c>
      <c r="S16" s="50" t="str">
        <f>IF(ISERROR(FIND('112'!$M$9,G16,1)),"",IF((AND(LEFT(G16,2)=LEFT('112'!$M$9,2),B16&lt;'112'!$N$8,$L16='112'!$I$6)),"x",""))</f>
        <v/>
      </c>
      <c r="T16" s="50" t="str">
        <f>IF(ISERROR(FIND('112'!$M$9,G16,1)),"",IF((AND(RIGHT(G16,2)=RIGHT('112'!$M$9,2),B16&lt;'112'!$N$8,$M16='112'!$I$6)),"x",""))</f>
        <v/>
      </c>
      <c r="U16" s="50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0" t="str">
        <f>IF(OR(TH!L16=TH!$V$7,M16=TH!$V$7),"x","")</f>
        <v>x</v>
      </c>
      <c r="W16" s="50" t="str">
        <f>IF(AND(B16&gt;='IN-NX'!$P$3,B16&lt;='IN-NX'!$Q$3,'IN-NX'!$D$7=D16,OR(LEFT(L16,2)="15",AND(LEFT(M16,2)&lt;&gt;"15",LEFT(M16,2)&lt;&gt;"33"))),"x","")</f>
        <v/>
      </c>
      <c r="X16" s="50" t="str">
        <f>IF(AND(OR(LEFT(TH!L16,2)="15",LEFT(TH!M16,2)="15"),'152-CT'!$J$8=TH!F16),"x","")</f>
        <v/>
      </c>
      <c r="Y16" s="50" t="str">
        <f>IF(AND(OR(LEFT(TH!L16,2)="15",LEFT(TH!M16,2)="15"),TK!$E$7=TH!F16),"x","")</f>
        <v/>
      </c>
      <c r="Z16" s="50" t="str">
        <f>IF(AND(B16&lt;=NKC!$N$8,B16&gt;=NKC!$M$8),"x","")</f>
        <v/>
      </c>
      <c r="AA16" s="816"/>
    </row>
    <row r="17" spans="1:30" s="686" customFormat="1" ht="15.75" customHeight="1">
      <c r="A17" s="846" t="str">
        <f>IF(B17&lt;&gt;"",IF(AND(B17&gt;=_TM1,B17&lt;=_TM2,OR(TH!L17="1111",TH!M17="1111")),TH!D17,""),"")</f>
        <v/>
      </c>
      <c r="B17" s="685">
        <f t="shared" si="0"/>
        <v>12</v>
      </c>
      <c r="C17" s="46">
        <f t="shared" si="1"/>
        <v>41274</v>
      </c>
      <c r="D17" s="46" t="s">
        <v>95</v>
      </c>
      <c r="E17" s="46">
        <v>41274</v>
      </c>
      <c r="F17" s="47" t="s">
        <v>98</v>
      </c>
      <c r="G17" s="852"/>
      <c r="H17" s="48"/>
      <c r="I17" s="247"/>
      <c r="J17" s="247"/>
      <c r="K17" s="49">
        <f>SUMIF(KHC,L17,TH)</f>
        <v>54361</v>
      </c>
      <c r="L17" s="51" t="s">
        <v>40</v>
      </c>
      <c r="M17" s="50" t="s">
        <v>91</v>
      </c>
      <c r="N17" s="50" t="str">
        <f>IF(AND('331-CT'!$E$7=TH!H17,OR(L17="331",M17="331")),"331",IF(AND(OR(L17="131",M17="131"),H17='131-CT'!$E$7),"131",""))</f>
        <v/>
      </c>
      <c r="O17" s="50" t="str">
        <f>IF(AND($B17&gt;='111'!$N$11,$B17&lt;='111'!$O$11,OR($L17=$O$7,$M17=$O$7)),"x","")</f>
        <v/>
      </c>
      <c r="P17" s="50" t="str">
        <f>IF(AND($L17=$O$7,$B17&lt;'111'!$N$11),"x","")</f>
        <v/>
      </c>
      <c r="Q17" s="50" t="str">
        <f>IF(AND($M17=$O$7,$B17&lt;'111'!$N$11),"x","")</f>
        <v/>
      </c>
      <c r="R17" s="50" t="str">
        <f>IF(ISERROR(FIND('112'!$M$9,G17,1)),"",IF((AND(FIND('112'!$M$9,G17,1)&gt;=1,$B17&gt;='112'!$N$8,$B17&lt;='112'!$O$8,OR($L17='112'!$I$6,$M17='112'!$I$6))),"x",""))</f>
        <v/>
      </c>
      <c r="S17" s="50" t="str">
        <f>IF(ISERROR(FIND('112'!$M$9,G17,1)),"",IF((AND(LEFT(G17,2)=LEFT('112'!$M$9,2),B17&lt;'112'!$N$8,$L17='112'!$I$6)),"x",""))</f>
        <v/>
      </c>
      <c r="T17" s="50" t="str">
        <f>IF(ISERROR(FIND('112'!$M$9,G17,1)),"",IF((AND(RIGHT(G17,2)=RIGHT('112'!$M$9,2),B17&lt;'112'!$N$8,$M17='112'!$I$6)),"x",""))</f>
        <v/>
      </c>
      <c r="U17" s="50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0" t="str">
        <f>IF(OR(TH!L17=TH!$V$7,M17=TH!$V$7),"x","")</f>
        <v/>
      </c>
      <c r="W17" s="50" t="str">
        <f>IF(AND(B17&gt;='IN-NX'!$P$3,B17&lt;='IN-NX'!$Q$3,'IN-NX'!$D$7=D17,OR(LEFT(L17,2)="15",AND(LEFT(M17,2)&lt;&gt;"15",LEFT(M17,2)&lt;&gt;"33"))),"x","")</f>
        <v/>
      </c>
      <c r="X17" s="50" t="str">
        <f>IF(AND(OR(LEFT(TH!L17,2)="15",LEFT(TH!M17,2)="15"),'152-CT'!$J$8=TH!F17),"x","")</f>
        <v/>
      </c>
      <c r="Y17" s="50" t="str">
        <f>IF(AND(OR(LEFT(TH!L17,2)="15",LEFT(TH!M17,2)="15"),TK!$E$7=TH!F17),"x","")</f>
        <v/>
      </c>
      <c r="Z17" s="50" t="str">
        <f>IF(AND(B17&lt;=NKC!$N$8,B17&gt;=NKC!$M$8),"x","")</f>
        <v/>
      </c>
      <c r="AA17" s="816"/>
    </row>
    <row r="18" spans="1:30" s="686" customFormat="1" ht="15.75" customHeight="1">
      <c r="A18" s="846" t="str">
        <f>IF(B18&lt;&gt;"",IF(AND(B18&gt;=_TM1,B18&lt;=_TM2,OR(TH!L18="1111",TH!M18="1111")),TH!D18,""),"")</f>
        <v/>
      </c>
      <c r="B18" s="685">
        <f t="shared" ref="B18" si="3">IF(C18&lt;&gt;"",MONTH(C18),"")</f>
        <v>12</v>
      </c>
      <c r="C18" s="46">
        <f t="shared" ref="C18" si="4">E18</f>
        <v>41274</v>
      </c>
      <c r="D18" s="46" t="s">
        <v>95</v>
      </c>
      <c r="E18" s="46">
        <v>41274</v>
      </c>
      <c r="F18" s="47" t="s">
        <v>613</v>
      </c>
      <c r="G18" s="852"/>
      <c r="H18" s="48"/>
      <c r="I18" s="247"/>
      <c r="J18" s="247"/>
      <c r="K18" s="49">
        <f>SUMIF(KHC,L18,TH)</f>
        <v>0</v>
      </c>
      <c r="L18" s="50" t="s">
        <v>609</v>
      </c>
      <c r="M18" s="50" t="s">
        <v>91</v>
      </c>
      <c r="N18" s="50" t="str">
        <f>IF(AND('331-CT'!$E$7=TH!H18,OR(L18="331",M18="331")),"331",IF(AND(OR(L18="131",M18="131"),H18='131-CT'!$E$7),"131",""))</f>
        <v/>
      </c>
      <c r="O18" s="50" t="str">
        <f>IF(AND($B18&gt;='111'!$N$11,$B18&lt;='111'!$O$11,OR($L18=$O$7,$M18=$O$7)),"x","")</f>
        <v/>
      </c>
      <c r="P18" s="50" t="str">
        <f>IF(AND($L18=$O$7,$B18&lt;'111'!$N$11),"x","")</f>
        <v/>
      </c>
      <c r="Q18" s="50" t="str">
        <f>IF(AND($M18=$O$7,$B18&lt;'111'!$N$11),"x","")</f>
        <v/>
      </c>
      <c r="R18" s="50" t="str">
        <f>IF(ISERROR(FIND('112'!$M$9,G18,1)),"",IF((AND(FIND('112'!$M$9,G18,1)&gt;=1,$B18&gt;='112'!$N$8,$B18&lt;='112'!$O$8,OR($L18='112'!$I$6,$M18='112'!$I$6))),"x",""))</f>
        <v/>
      </c>
      <c r="S18" s="50" t="str">
        <f>IF(ISERROR(FIND('112'!$M$9,G18,1)),"",IF((AND(LEFT(G18,2)=LEFT('112'!$M$9,2),B18&lt;'112'!$N$8,$L18='112'!$I$6)),"x",""))</f>
        <v/>
      </c>
      <c r="T18" s="50" t="str">
        <f>IF(ISERROR(FIND('112'!$M$9,G18,1)),"",IF((AND(RIGHT(G18,2)=RIGHT('112'!$M$9,2),B18&lt;'112'!$N$8,$M18='112'!$I$6)),"x",""))</f>
        <v/>
      </c>
      <c r="U18" s="50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0" t="str">
        <f>IF(OR(TH!L18=TH!$V$7,M18=TH!$V$7),"x","")</f>
        <v/>
      </c>
      <c r="W18" s="50" t="str">
        <f>IF(AND(B18&gt;='IN-NX'!$P$3,B18&lt;='IN-NX'!$Q$3,'IN-NX'!$D$7=D18,OR(LEFT(L18,2)="15",AND(LEFT(M18,2)&lt;&gt;"15",LEFT(M18,2)&lt;&gt;"33"))),"x","")</f>
        <v/>
      </c>
      <c r="X18" s="50" t="str">
        <f>IF(AND(OR(LEFT(TH!L18,2)="15",LEFT(TH!M18,2)="15"),'152-CT'!$J$8=TH!F18),"x","")</f>
        <v/>
      </c>
      <c r="Y18" s="50" t="str">
        <f>IF(AND(OR(LEFT(TH!L18,2)="15",LEFT(TH!M18,2)="15"),TK!$E$7=TH!F18),"x","")</f>
        <v/>
      </c>
      <c r="Z18" s="50" t="str">
        <f>IF(AND(B18&lt;=NKC!$N$8,B18&gt;=NKC!$M$8),"x","")</f>
        <v/>
      </c>
      <c r="AA18" s="816"/>
    </row>
    <row r="19" spans="1:30" s="686" customFormat="1" ht="15.75" customHeight="1">
      <c r="A19" s="846" t="str">
        <f>IF(B19&lt;&gt;"",IF(AND(B19&gt;=_TM1,B19&lt;=_TM2,OR(TH!L19="1111",TH!M19="1111")),TH!D19,""),"")</f>
        <v/>
      </c>
      <c r="B19" s="685">
        <f t="shared" si="0"/>
        <v>12</v>
      </c>
      <c r="C19" s="46">
        <f t="shared" si="1"/>
        <v>41274</v>
      </c>
      <c r="D19" s="46" t="s">
        <v>95</v>
      </c>
      <c r="E19" s="46">
        <v>41274</v>
      </c>
      <c r="F19" s="47" t="s">
        <v>614</v>
      </c>
      <c r="G19" s="852"/>
      <c r="H19" s="48"/>
      <c r="I19" s="247"/>
      <c r="J19" s="247"/>
      <c r="K19" s="49">
        <f>SUMIF(KHC,L19,TH)</f>
        <v>0</v>
      </c>
      <c r="L19" s="50" t="s">
        <v>179</v>
      </c>
      <c r="M19" s="50" t="s">
        <v>91</v>
      </c>
      <c r="N19" s="50" t="str">
        <f>IF(AND('331-CT'!$E$7=TH!H19,OR(L19="331",M19="331")),"331",IF(AND(OR(L19="131",M19="131"),H19='131-CT'!$E$7),"131",""))</f>
        <v/>
      </c>
      <c r="O19" s="50" t="str">
        <f>IF(AND($B19&gt;='111'!$N$11,$B19&lt;='111'!$O$11,OR($L19=$O$7,$M19=$O$7)),"x","")</f>
        <v/>
      </c>
      <c r="P19" s="50" t="str">
        <f>IF(AND($L19=$O$7,$B19&lt;'111'!$N$11),"x","")</f>
        <v/>
      </c>
      <c r="Q19" s="50" t="str">
        <f>IF(AND($M19=$O$7,$B19&lt;'111'!$N$11),"x","")</f>
        <v/>
      </c>
      <c r="R19" s="50" t="str">
        <f>IF(ISERROR(FIND('112'!$M$9,G19,1)),"",IF((AND(FIND('112'!$M$9,G19,1)&gt;=1,$B19&gt;='112'!$N$8,$B19&lt;='112'!$O$8,OR($L19='112'!$I$6,$M19='112'!$I$6))),"x",""))</f>
        <v/>
      </c>
      <c r="S19" s="50" t="str">
        <f>IF(ISERROR(FIND('112'!$M$9,G19,1)),"",IF((AND(LEFT(G19,2)=LEFT('112'!$M$9,2),B19&lt;'112'!$N$8,$L19='112'!$I$6)),"x",""))</f>
        <v/>
      </c>
      <c r="T19" s="50" t="str">
        <f>IF(ISERROR(FIND('112'!$M$9,G19,1)),"",IF((AND(RIGHT(G19,2)=RIGHT('112'!$M$9,2),B19&lt;'112'!$N$8,$M19='112'!$I$6)),"x",""))</f>
        <v/>
      </c>
      <c r="U19" s="50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0" t="str">
        <f>IF(OR(TH!L19=TH!$V$7,M19=TH!$V$7),"x","")</f>
        <v/>
      </c>
      <c r="W19" s="50" t="str">
        <f>IF(AND(B19&gt;='IN-NX'!$P$3,B19&lt;='IN-NX'!$Q$3,'IN-NX'!$D$7=D19,OR(LEFT(L19,2)="15",AND(LEFT(M19,2)&lt;&gt;"15",LEFT(M19,2)&lt;&gt;"33"))),"x","")</f>
        <v/>
      </c>
      <c r="X19" s="50" t="str">
        <f>IF(AND(OR(LEFT(TH!L19,2)="15",LEFT(TH!M19,2)="15"),'152-CT'!$J$8=TH!F19),"x","")</f>
        <v/>
      </c>
      <c r="Y19" s="50" t="str">
        <f>IF(AND(OR(LEFT(TH!L19,2)="15",LEFT(TH!M19,2)="15"),TK!$E$7=TH!F19),"x","")</f>
        <v/>
      </c>
      <c r="Z19" s="50" t="str">
        <f>IF(AND(B19&lt;=NKC!$N$8,B19&gt;=NKC!$M$8),"x","")</f>
        <v/>
      </c>
      <c r="AA19" s="816"/>
    </row>
    <row r="20" spans="1:30" s="686" customFormat="1" ht="15.75" customHeight="1">
      <c r="A20" s="846" t="str">
        <f>IF(B20&lt;&gt;"",IF(AND(B20&gt;=_TM1,B20&lt;=_TM2,OR(TH!L20="1111",TH!M20="1111")),TH!D20,""),"")</f>
        <v/>
      </c>
      <c r="B20" s="685">
        <f t="shared" si="0"/>
        <v>12</v>
      </c>
      <c r="C20" s="46">
        <f t="shared" si="1"/>
        <v>41274</v>
      </c>
      <c r="D20" s="46" t="s">
        <v>95</v>
      </c>
      <c r="E20" s="46">
        <v>41274</v>
      </c>
      <c r="F20" s="47" t="s">
        <v>99</v>
      </c>
      <c r="G20" s="852"/>
      <c r="H20" s="48"/>
      <c r="I20" s="247"/>
      <c r="J20" s="247"/>
      <c r="K20" s="49">
        <f>SUMIF(KHC,L20,TH)</f>
        <v>0</v>
      </c>
      <c r="L20" s="50" t="s">
        <v>85</v>
      </c>
      <c r="M20" s="50" t="s">
        <v>91</v>
      </c>
      <c r="N20" s="50" t="str">
        <f>IF(AND('331-CT'!$E$7=TH!H20,OR(L20="331",M20="331")),"331",IF(AND(OR(L20="131",M20="131"),H20='131-CT'!$E$7),"131",""))</f>
        <v/>
      </c>
      <c r="O20" s="50" t="str">
        <f>IF(AND($B20&gt;='111'!$N$11,$B20&lt;='111'!$O$11,OR($L20=$O$7,$M20=$O$7)),"x","")</f>
        <v/>
      </c>
      <c r="P20" s="50" t="str">
        <f>IF(AND($L20=$O$7,$B20&lt;'111'!$N$11),"x","")</f>
        <v/>
      </c>
      <c r="Q20" s="50" t="str">
        <f>IF(AND($M20=$O$7,$B20&lt;'111'!$N$11),"x","")</f>
        <v/>
      </c>
      <c r="R20" s="50" t="str">
        <f>IF(ISERROR(FIND('112'!$M$9,G20,1)),"",IF((AND(FIND('112'!$M$9,G20,1)&gt;=1,$B20&gt;='112'!$N$8,$B20&lt;='112'!$O$8,OR($L20='112'!$I$6,$M20='112'!$I$6))),"x",""))</f>
        <v/>
      </c>
      <c r="S20" s="50" t="str">
        <f>IF(ISERROR(FIND('112'!$M$9,G20,1)),"",IF((AND(LEFT(G20,2)=LEFT('112'!$M$9,2),B20&lt;'112'!$N$8,$L20='112'!$I$6)),"x",""))</f>
        <v/>
      </c>
      <c r="T20" s="50" t="str">
        <f>IF(ISERROR(FIND('112'!$M$9,G20,1)),"",IF((AND(RIGHT(G20,2)=RIGHT('112'!$M$9,2),B20&lt;'112'!$N$8,$M20='112'!$I$6)),"x",""))</f>
        <v/>
      </c>
      <c r="U20" s="50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0" t="str">
        <f>IF(OR(TH!L20=TH!$V$7,M20=TH!$V$7),"x","")</f>
        <v/>
      </c>
      <c r="W20" s="50" t="str">
        <f>IF(AND(B20&gt;='IN-NX'!$P$3,B20&lt;='IN-NX'!$Q$3,'IN-NX'!$D$7=D20,OR(LEFT(L20,2)="15",AND(LEFT(M20,2)&lt;&gt;"15",LEFT(M20,2)&lt;&gt;"33"))),"x","")</f>
        <v/>
      </c>
      <c r="X20" s="50" t="str">
        <f>IF(AND(OR(LEFT(TH!L20,2)="15",LEFT(TH!M20,2)="15"),'152-CT'!$J$8=TH!F20),"x","")</f>
        <v/>
      </c>
      <c r="Y20" s="50" t="str">
        <f>IF(AND(OR(LEFT(TH!L20,2)="15",LEFT(TH!M20,2)="15"),TK!$E$7=TH!F20),"x","")</f>
        <v/>
      </c>
      <c r="Z20" s="50" t="str">
        <f>IF(AND(B20&lt;=NKC!$N$8,B20&gt;=NKC!$M$8),"x","")</f>
        <v/>
      </c>
      <c r="AA20" s="816"/>
    </row>
    <row r="21" spans="1:30" s="686" customFormat="1" ht="15.75" customHeight="1">
      <c r="A21" s="846" t="str">
        <f>IF(B21&lt;&gt;"",IF(AND(B21&gt;=_TM1,B21&lt;=_TM2,OR(TH!L21="1111",TH!M21="1111")),TH!D21,""),"")</f>
        <v/>
      </c>
      <c r="B21" s="685">
        <f t="shared" si="0"/>
        <v>12</v>
      </c>
      <c r="C21" s="46">
        <f t="shared" si="1"/>
        <v>41274</v>
      </c>
      <c r="D21" s="46" t="s">
        <v>95</v>
      </c>
      <c r="E21" s="46">
        <v>41274</v>
      </c>
      <c r="F21" s="47" t="s">
        <v>100</v>
      </c>
      <c r="G21" s="852"/>
      <c r="H21" s="48"/>
      <c r="I21" s="247"/>
      <c r="J21" s="247"/>
      <c r="K21" s="49">
        <f>SUMIF(KHN,M21,TH)</f>
        <v>0</v>
      </c>
      <c r="L21" s="51" t="s">
        <v>91</v>
      </c>
      <c r="M21" s="50" t="s">
        <v>87</v>
      </c>
      <c r="N21" s="50" t="str">
        <f>IF(AND('331-CT'!$E$7=TH!H21,OR(L21="331",M21="331")),"331",IF(AND(OR(L21="131",M21="131"),H21='131-CT'!$E$7),"131",""))</f>
        <v/>
      </c>
      <c r="O21" s="50" t="str">
        <f>IF(AND($B21&gt;='111'!$N$11,$B21&lt;='111'!$O$11,OR($L21=$O$7,$M21=$O$7)),"x","")</f>
        <v/>
      </c>
      <c r="P21" s="50" t="str">
        <f>IF(AND($L21=$O$7,$B21&lt;'111'!$N$11),"x","")</f>
        <v/>
      </c>
      <c r="Q21" s="50" t="str">
        <f>IF(AND($M21=$O$7,$B21&lt;'111'!$N$11),"x","")</f>
        <v/>
      </c>
      <c r="R21" s="50" t="str">
        <f>IF(ISERROR(FIND('112'!$M$9,G21,1)),"",IF((AND(FIND('112'!$M$9,G21,1)&gt;=1,$B21&gt;='112'!$N$8,$B21&lt;='112'!$O$8,OR($L21='112'!$I$6,$M21='112'!$I$6))),"x",""))</f>
        <v/>
      </c>
      <c r="S21" s="50" t="str">
        <f>IF(ISERROR(FIND('112'!$M$9,G21,1)),"",IF((AND(LEFT(G21,2)=LEFT('112'!$M$9,2),B21&lt;'112'!$N$8,$L21='112'!$I$6)),"x",""))</f>
        <v/>
      </c>
      <c r="T21" s="50" t="str">
        <f>IF(ISERROR(FIND('112'!$M$9,G21,1)),"",IF((AND(RIGHT(G21,2)=RIGHT('112'!$M$9,2),B21&lt;'112'!$N$8,$M21='112'!$I$6)),"x",""))</f>
        <v/>
      </c>
      <c r="U21" s="50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0" t="str">
        <f>IF(OR(TH!L21=TH!$V$7,M21=TH!$V$7),"x","")</f>
        <v/>
      </c>
      <c r="W21" s="50" t="str">
        <f>IF(AND(B21&gt;='IN-NX'!$P$3,B21&lt;='IN-NX'!$Q$3,'IN-NX'!$D$7=D21,OR(LEFT(L21,2)="15",AND(LEFT(M21,2)&lt;&gt;"15",LEFT(M21,2)&lt;&gt;"33"))),"x","")</f>
        <v/>
      </c>
      <c r="X21" s="50" t="str">
        <f>IF(AND(OR(LEFT(TH!L21,2)="15",LEFT(TH!M21,2)="15"),'152-CT'!$J$8=TH!F21),"x","")</f>
        <v/>
      </c>
      <c r="Y21" s="50" t="str">
        <f>IF(AND(OR(LEFT(TH!L21,2)="15",LEFT(TH!M21,2)="15"),TK!$E$7=TH!F21),"x","")</f>
        <v/>
      </c>
      <c r="Z21" s="50" t="str">
        <f>IF(AND(B21&lt;=NKC!$N$8,B21&gt;=NKC!$M$8),"x","")</f>
        <v/>
      </c>
      <c r="AA21" s="816"/>
    </row>
    <row r="22" spans="1:30" s="686" customFormat="1" ht="15.75" customHeight="1">
      <c r="A22" s="846" t="str">
        <f>IF(B22&lt;&gt;"",IF(AND(B22&gt;=_TM1,B22&lt;=_TM2,OR(TH!L22="1111",TH!M22="1111")),TH!D22,""),"")</f>
        <v/>
      </c>
      <c r="B22" s="685">
        <f t="shared" si="0"/>
        <v>12</v>
      </c>
      <c r="C22" s="46">
        <f t="shared" si="1"/>
        <v>41274</v>
      </c>
      <c r="D22" s="46" t="s">
        <v>95</v>
      </c>
      <c r="E22" s="46">
        <v>41274</v>
      </c>
      <c r="F22" s="47" t="s">
        <v>582</v>
      </c>
      <c r="G22" s="852"/>
      <c r="H22" s="48"/>
      <c r="I22" s="247"/>
      <c r="J22" s="247"/>
      <c r="K22" s="49"/>
      <c r="L22" s="51" t="s">
        <v>91</v>
      </c>
      <c r="M22" s="50" t="s">
        <v>76</v>
      </c>
      <c r="N22" s="50" t="str">
        <f>IF(AND('331-CT'!$E$7=TH!H22,OR(L22="331",M22="331")),"331",IF(AND(OR(L22="131",M22="131"),H22='131-CT'!$E$7),"131",""))</f>
        <v/>
      </c>
      <c r="O22" s="50" t="str">
        <f>IF(AND($B22&gt;='111'!$N$11,$B22&lt;='111'!$O$11,OR($L22=$O$7,$M22=$O$7)),"x","")</f>
        <v/>
      </c>
      <c r="P22" s="50" t="str">
        <f>IF(AND($L22=$O$7,$B22&lt;'111'!$N$11),"x","")</f>
        <v/>
      </c>
      <c r="Q22" s="50" t="str">
        <f>IF(AND($M22=$O$7,$B22&lt;'111'!$N$11),"x","")</f>
        <v/>
      </c>
      <c r="R22" s="50" t="str">
        <f>IF(ISERROR(FIND('112'!$M$9,G22,1)),"",IF((AND(FIND('112'!$M$9,G22,1)&gt;=1,$B22&gt;='112'!$N$8,$B22&lt;='112'!$O$8,OR($L22='112'!$I$6,$M22='112'!$I$6))),"x",""))</f>
        <v/>
      </c>
      <c r="S22" s="50" t="str">
        <f>IF(ISERROR(FIND('112'!$M$9,G22,1)),"",IF((AND(LEFT(G22,2)=LEFT('112'!$M$9,2),B22&lt;'112'!$N$8,$L22='112'!$I$6)),"x",""))</f>
        <v/>
      </c>
      <c r="T22" s="50" t="str">
        <f>IF(ISERROR(FIND('112'!$M$9,G22,1)),"",IF((AND(RIGHT(G22,2)=RIGHT('112'!$M$9,2),B22&lt;'112'!$N$8,$M22='112'!$I$6)),"x",""))</f>
        <v/>
      </c>
      <c r="U22" s="50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0" t="str">
        <f>IF(OR(TH!L22=TH!$V$7,M22=TH!$V$7),"x","")</f>
        <v/>
      </c>
      <c r="W22" s="50" t="str">
        <f>IF(AND(B22&gt;='IN-NX'!$P$3,B22&lt;='IN-NX'!$Q$3,'IN-NX'!$D$7=D22,OR(LEFT(L22,2)="15",AND(LEFT(M22,2)&lt;&gt;"15",LEFT(M22,2)&lt;&gt;"33"))),"x","")</f>
        <v/>
      </c>
      <c r="X22" s="50" t="str">
        <f>IF(AND(OR(LEFT(TH!L22,2)="15",LEFT(TH!M22,2)="15"),'152-CT'!$J$8=TH!F22),"x","")</f>
        <v/>
      </c>
      <c r="Y22" s="50" t="str">
        <f>IF(AND(OR(LEFT(TH!L22,2)="15",LEFT(TH!M22,2)="15"),TK!$E$7=TH!F22),"x","")</f>
        <v/>
      </c>
      <c r="Z22" s="50" t="str">
        <f>IF(AND(B22&lt;=NKC!$N$8,B22&gt;=NKC!$M$8),"x","")</f>
        <v/>
      </c>
      <c r="AA22" s="816"/>
    </row>
    <row r="23" spans="1:30" s="686" customFormat="1" ht="15.75" customHeight="1">
      <c r="A23" s="846" t="str">
        <f>IF(B23&lt;&gt;"",IF(AND(B23&gt;=_TM1,B23&lt;=_TM2,OR(TH!L23="1111",TH!M23="1111")),TH!D23,""),"")</f>
        <v/>
      </c>
      <c r="B23" s="685" t="str">
        <f t="shared" si="0"/>
        <v/>
      </c>
      <c r="C23" s="46"/>
      <c r="D23" s="46"/>
      <c r="E23" s="46"/>
      <c r="F23" s="47" t="s">
        <v>581</v>
      </c>
      <c r="G23" s="852"/>
      <c r="H23" s="48"/>
      <c r="I23" s="247"/>
      <c r="J23" s="247"/>
      <c r="K23" s="49"/>
      <c r="L23" s="51"/>
      <c r="M23" s="50"/>
      <c r="N23" s="50" t="str">
        <f>IF(AND('331-CT'!$E$7=TH!H23,OR(L23="331",M23="331")),"331",IF(AND(OR(L23="131",M23="131"),H23='131-CT'!$E$7),"131",""))</f>
        <v/>
      </c>
      <c r="O23" s="50" t="str">
        <f>IF(AND($B23&gt;='111'!$N$11,$B23&lt;='111'!$O$11,OR($L23=$O$7,$M23=$O$7)),"x","")</f>
        <v/>
      </c>
      <c r="P23" s="50" t="str">
        <f>IF(AND($L23=$O$7,$B23&lt;'111'!$N$11),"x","")</f>
        <v/>
      </c>
      <c r="Q23" s="50" t="str">
        <f>IF(AND($M23=$O$7,$B23&lt;'111'!$N$11),"x","")</f>
        <v/>
      </c>
      <c r="R23" s="50" t="str">
        <f>IF(ISERROR(FIND('112'!$M$9,G23,1)),"",IF((AND(FIND('112'!$M$9,G23,1)&gt;=1,$B23&gt;='112'!$N$8,$B23&lt;='112'!$O$8,OR($L23='112'!$I$6,$M23='112'!$I$6))),"x",""))</f>
        <v/>
      </c>
      <c r="S23" s="50" t="str">
        <f>IF(ISERROR(FIND('112'!$M$9,G23,1)),"",IF((AND(LEFT(G23,2)=LEFT('112'!$M$9,2),B23&lt;'112'!$N$8,$L23='112'!$I$6)),"x",""))</f>
        <v/>
      </c>
      <c r="T23" s="50" t="str">
        <f>IF(ISERROR(FIND('112'!$M$9,G23,1)),"",IF((AND(RIGHT(G23,2)=RIGHT('112'!$M$9,2),B23&lt;'112'!$N$8,$M23='112'!$I$6)),"x",""))</f>
        <v/>
      </c>
      <c r="U23" s="50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0" t="str">
        <f>IF(OR(TH!L23=TH!$V$7,M23=TH!$V$7),"x","")</f>
        <v/>
      </c>
      <c r="W23" s="50" t="str">
        <f>IF(AND(B23&gt;='IN-NX'!$P$3,B23&lt;='IN-NX'!$Q$3,'IN-NX'!$D$7=D23,OR(LEFT(L23,2)="15",AND(LEFT(M23,2)&lt;&gt;"15",LEFT(M23,2)&lt;&gt;"33"))),"x","")</f>
        <v/>
      </c>
      <c r="X23" s="50" t="str">
        <f>IF(AND(OR(LEFT(TH!L23,2)="15",LEFT(TH!M23,2)="15"),'152-CT'!$J$8=TH!F23),"x","")</f>
        <v/>
      </c>
      <c r="Y23" s="50" t="str">
        <f>IF(AND(OR(LEFT(TH!L23,2)="15",LEFT(TH!M23,2)="15"),TK!$E$7=TH!F23),"x","")</f>
        <v/>
      </c>
      <c r="Z23" s="50" t="str">
        <f>IF(AND(B23&lt;=NKC!$N$8,B23&gt;=NKC!$M$8),"x","")</f>
        <v/>
      </c>
      <c r="AA23" s="816"/>
    </row>
    <row r="24" spans="1:30" s="686" customFormat="1" ht="15.75" customHeight="1">
      <c r="A24" s="846" t="str">
        <f>IF(B24&lt;&gt;"",IF(AND(B24&gt;=_TM1,B24&lt;=_TM2,OR(TH!L24="1111",TH!M24="1111")),TH!D24,""),"")</f>
        <v/>
      </c>
      <c r="B24" s="685" t="str">
        <f t="shared" si="0"/>
        <v/>
      </c>
      <c r="C24" s="46"/>
      <c r="D24" s="46"/>
      <c r="E24" s="46"/>
      <c r="F24" s="47" t="s">
        <v>579</v>
      </c>
      <c r="G24" s="852"/>
      <c r="H24" s="48"/>
      <c r="I24" s="247"/>
      <c r="J24" s="247"/>
      <c r="K24" s="49"/>
      <c r="L24" s="51"/>
      <c r="M24" s="50"/>
      <c r="N24" s="50" t="str">
        <f>IF(AND('331-CT'!$E$7=TH!H24,OR(L24="331",M24="331")),"331",IF(AND(OR(L24="131",M24="131"),H24='131-CT'!$E$7),"131",""))</f>
        <v/>
      </c>
      <c r="O24" s="50" t="str">
        <f>IF(AND($B24&gt;='111'!$N$11,$B24&lt;='111'!$O$11,OR($L24=$O$7,$M24=$O$7)),"x","")</f>
        <v/>
      </c>
      <c r="P24" s="50" t="str">
        <f>IF(AND($L24=$O$7,$B24&lt;'111'!$N$11),"x","")</f>
        <v/>
      </c>
      <c r="Q24" s="50" t="str">
        <f>IF(AND($M24=$O$7,$B24&lt;'111'!$N$11),"x","")</f>
        <v/>
      </c>
      <c r="R24" s="50" t="str">
        <f>IF(ISERROR(FIND('112'!$M$9,G24,1)),"",IF((AND(FIND('112'!$M$9,G24,1)&gt;=1,$B24&gt;='112'!$N$8,$B24&lt;='112'!$O$8,OR($L24='112'!$I$6,$M24='112'!$I$6))),"x",""))</f>
        <v/>
      </c>
      <c r="S24" s="50" t="str">
        <f>IF(ISERROR(FIND('112'!$M$9,G24,1)),"",IF((AND(LEFT(G24,2)=LEFT('112'!$M$9,2),B24&lt;'112'!$N$8,$L24='112'!$I$6)),"x",""))</f>
        <v/>
      </c>
      <c r="T24" s="50" t="str">
        <f>IF(ISERROR(FIND('112'!$M$9,G24,1)),"",IF((AND(RIGHT(G24,2)=RIGHT('112'!$M$9,2),B24&lt;'112'!$N$8,$M24='112'!$I$6)),"x",""))</f>
        <v/>
      </c>
      <c r="U24" s="50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0" t="str">
        <f>IF(OR(TH!L24=TH!$V$7,M24=TH!$V$7),"x","")</f>
        <v/>
      </c>
      <c r="W24" s="50" t="str">
        <f>IF(AND(B24&gt;='IN-NX'!$P$3,B24&lt;='IN-NX'!$Q$3,'IN-NX'!$D$7=D24,OR(LEFT(L24,2)="15",AND(LEFT(M24,2)&lt;&gt;"15",LEFT(M24,2)&lt;&gt;"33"))),"x","")</f>
        <v/>
      </c>
      <c r="X24" s="50" t="str">
        <f>IF(AND(OR(LEFT(TH!L24,2)="15",LEFT(TH!M24,2)="15"),'152-CT'!$J$8=TH!F24),"x","")</f>
        <v/>
      </c>
      <c r="Y24" s="50" t="str">
        <f>IF(AND(OR(LEFT(TH!L24,2)="15",LEFT(TH!M24,2)="15"),TK!$E$7=TH!F24),"x","")</f>
        <v/>
      </c>
      <c r="Z24" s="50" t="str">
        <f>IF(AND(B24&lt;=NKC!$N$8,B24&gt;=NKC!$M$8),"x","")</f>
        <v/>
      </c>
      <c r="AA24" s="816"/>
    </row>
    <row r="25" spans="1:30" s="686" customFormat="1" ht="15.75" customHeight="1">
      <c r="A25" s="846" t="str">
        <f>IF(B25&lt;&gt;"",IF(AND(B25&gt;=_TM1,B25&lt;=_TM2,OR(TH!L25="1111",TH!M25="1111")),TH!D25,""),"")</f>
        <v/>
      </c>
      <c r="B25" s="685" t="str">
        <f t="shared" si="0"/>
        <v/>
      </c>
      <c r="C25" s="46"/>
      <c r="D25" s="46"/>
      <c r="E25" s="46"/>
      <c r="F25" s="47" t="s">
        <v>580</v>
      </c>
      <c r="G25" s="852"/>
      <c r="H25" s="48"/>
      <c r="I25" s="247"/>
      <c r="J25" s="247"/>
      <c r="L25" s="51"/>
      <c r="M25" s="50"/>
      <c r="N25" s="50" t="str">
        <f>IF(AND('331-CT'!$E$7=TH!H25,OR(L25="331",M25="331")),"331",IF(AND(OR(L25="131",M25="131"),H25='131-CT'!$E$7),"131",""))</f>
        <v/>
      </c>
      <c r="O25" s="50" t="str">
        <f>IF(AND($B25&gt;='111'!$N$11,$B25&lt;='111'!$O$11,OR($L25=$O$7,$M25=$O$7)),"x","")</f>
        <v/>
      </c>
      <c r="P25" s="50" t="str">
        <f>IF(AND($L25=$O$7,$B25&lt;'111'!$N$11),"x","")</f>
        <v/>
      </c>
      <c r="Q25" s="50" t="str">
        <f>IF(AND($M25=$O$7,$B25&lt;'111'!$N$11),"x","")</f>
        <v/>
      </c>
      <c r="R25" s="50" t="str">
        <f>IF(ISERROR(FIND('112'!$M$9,G25,1)),"",IF((AND(FIND('112'!$M$9,G25,1)&gt;=1,$B25&gt;='112'!$N$8,$B25&lt;='112'!$O$8,OR($L25='112'!$I$6,$M25='112'!$I$6))),"x",""))</f>
        <v/>
      </c>
      <c r="S25" s="50" t="str">
        <f>IF(ISERROR(FIND('112'!$M$9,G25,1)),"",IF((AND(LEFT(G25,2)=LEFT('112'!$M$9,2),B25&lt;'112'!$N$8,$L25='112'!$I$6)),"x",""))</f>
        <v/>
      </c>
      <c r="T25" s="50" t="str">
        <f>IF(ISERROR(FIND('112'!$M$9,G25,1)),"",IF((AND(RIGHT(G25,2)=RIGHT('112'!$M$9,2),B25&lt;'112'!$N$8,$M25='112'!$I$6)),"x",""))</f>
        <v/>
      </c>
      <c r="U25" s="50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0" t="str">
        <f>IF(OR(TH!L25=TH!$V$7,M25=TH!$V$7),"x","")</f>
        <v/>
      </c>
      <c r="W25" s="50" t="str">
        <f>IF(AND(B25&gt;='IN-NX'!$P$3,B25&lt;='IN-NX'!$Q$3,'IN-NX'!$D$7=D25,OR(LEFT(L25,2)="15",AND(LEFT(M25,2)&lt;&gt;"15",LEFT(M25,2)&lt;&gt;"33"))),"x","")</f>
        <v/>
      </c>
      <c r="X25" s="50" t="str">
        <f>IF(AND(OR(LEFT(TH!L25,2)="15",LEFT(TH!M25,2)="15"),'152-CT'!$J$8=TH!F25),"x","")</f>
        <v/>
      </c>
      <c r="Y25" s="50" t="str">
        <f>IF(AND(OR(LEFT(TH!L25,2)="15",LEFT(TH!M25,2)="15"),TK!$E$7=TH!F25),"x","")</f>
        <v/>
      </c>
      <c r="Z25" s="50" t="str">
        <f>IF(AND(B25&lt;=NKC!$N$8,B25&gt;=NKC!$M$8),"x","")</f>
        <v/>
      </c>
      <c r="AA25" s="816"/>
    </row>
    <row r="26" spans="1:30" s="581" customFormat="1" ht="15.75" customHeight="1">
      <c r="A26" s="846" t="str">
        <f>IF(B26&lt;&gt;"",IF(AND(B26&gt;=_TM1,B26&lt;=_TM2,OR(TH!L26="1111",TH!M26="1111")),TH!D26,""),"")</f>
        <v/>
      </c>
      <c r="B26" s="36">
        <f>IF(C26&lt;&gt;"",MONTH(C26),"")</f>
        <v>8</v>
      </c>
      <c r="C26" s="187">
        <f>E26</f>
        <v>41122</v>
      </c>
      <c r="D26" s="187" t="s">
        <v>376</v>
      </c>
      <c r="E26" s="180">
        <v>41122</v>
      </c>
      <c r="F26" s="185" t="s">
        <v>677</v>
      </c>
      <c r="G26" s="853"/>
      <c r="H26" s="7"/>
      <c r="I26" s="249"/>
      <c r="J26" s="249"/>
      <c r="K26" s="37">
        <v>2500000000</v>
      </c>
      <c r="L26" s="190" t="s">
        <v>47</v>
      </c>
      <c r="M26" s="190" t="s">
        <v>25</v>
      </c>
      <c r="N26" s="50" t="str">
        <f>IF(AND('331-CT'!$E$7=TH!H26,OR(L26="331",M26="331")),"331",IF(AND(OR(L26="131",M26="131"),H26='131-CT'!$E$7),"131",""))</f>
        <v/>
      </c>
      <c r="O26" s="50" t="str">
        <f>IF(AND($B26&gt;='111'!$N$11,$B26&lt;='111'!$O$11,OR($L26=$O$7,$M26=$O$7)),"x","")</f>
        <v/>
      </c>
      <c r="P26" s="50" t="str">
        <f>IF(AND($L26=$O$7,$B26&lt;'111'!$N$11),"x","")</f>
        <v>x</v>
      </c>
      <c r="Q26" s="50" t="str">
        <f>IF(AND($M26=$O$7,$B26&lt;'111'!$N$11),"x","")</f>
        <v/>
      </c>
      <c r="R26" s="50" t="str">
        <f>IF(ISERROR(FIND('112'!$M$9,G26,1)),"",IF((AND(FIND('112'!$M$9,G26,1)&gt;=1,$B26&gt;='112'!$N$8,$B26&lt;='112'!$O$8,OR($L26='112'!$I$6,$M26='112'!$I$6))),"x",""))</f>
        <v/>
      </c>
      <c r="S26" s="50" t="str">
        <f>IF(ISERROR(FIND('112'!$M$9,G26,1)),"",IF((AND(LEFT(G26,2)=LEFT('112'!$M$9,2),B26&lt;'112'!$N$8,$L26='112'!$I$6)),"x",""))</f>
        <v/>
      </c>
      <c r="T26" s="50" t="str">
        <f>IF(ISERROR(FIND('112'!$M$9,G26,1)),"",IF((AND(RIGHT(G26,2)=RIGHT('112'!$M$9,2),B26&lt;'112'!$N$8,$M26='112'!$I$6)),"x",""))</f>
        <v/>
      </c>
      <c r="U26" s="50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0" t="str">
        <f>IF(OR(TH!L26=TH!$V$7,M26=TH!$V$7),"x","")</f>
        <v/>
      </c>
      <c r="W26" s="50" t="str">
        <f>IF(AND(B26&gt;='IN-NX'!$P$3,B26&lt;='IN-NX'!$Q$3,'IN-NX'!$D$7=D26,OR(LEFT(L26,2)="15",AND(LEFT(M26,2)&lt;&gt;"15",LEFT(M26,2)&lt;&gt;"33"))),"x","")</f>
        <v/>
      </c>
      <c r="X26" s="50" t="str">
        <f>IF(AND(OR(LEFT(TH!L26,2)="15",LEFT(TH!M26,2)="15"),'152-CT'!$J$8=TH!F26),"x","")</f>
        <v/>
      </c>
      <c r="Y26" s="50" t="str">
        <f>IF(AND(OR(LEFT(TH!L26,2)="15",LEFT(TH!M26,2)="15"),TK!$E$7=TH!F26),"x","")</f>
        <v/>
      </c>
      <c r="Z26" s="50" t="str">
        <f>IF(AND(B26&lt;=NKC!$N$8,B26&gt;=NKC!$M$8),"x","")</f>
        <v>x</v>
      </c>
      <c r="AA26" s="845"/>
      <c r="AC26" s="201"/>
      <c r="AD26" s="201"/>
    </row>
    <row r="27" spans="1:30" s="581" customFormat="1" ht="15.75" customHeight="1">
      <c r="A27" s="846" t="str">
        <f>IF(B27&lt;&gt;"",IF(AND(B27&gt;=_TM1,B27&lt;=_TM2,OR(TH!L27="1111",TH!M27="1111")),TH!D27,""),"")</f>
        <v/>
      </c>
      <c r="B27" s="36">
        <f>IF(C27&lt;&gt;"",MONTH(C27),"")</f>
        <v>8</v>
      </c>
      <c r="C27" s="187">
        <f>E27</f>
        <v>41131</v>
      </c>
      <c r="D27" s="180" t="s">
        <v>731</v>
      </c>
      <c r="E27" s="180">
        <v>41131</v>
      </c>
      <c r="F27" s="185" t="s">
        <v>716</v>
      </c>
      <c r="G27" s="853" t="s">
        <v>616</v>
      </c>
      <c r="H27" s="7"/>
      <c r="I27" s="249"/>
      <c r="J27" s="249"/>
      <c r="K27" s="37">
        <v>1000000</v>
      </c>
      <c r="L27" s="190" t="s">
        <v>24</v>
      </c>
      <c r="M27" s="190" t="s">
        <v>47</v>
      </c>
      <c r="N27" s="50" t="str">
        <f>IF(AND('331-CT'!$E$7=TH!H27,OR(L27="331",M27="331")),"331",IF(AND(OR(L27="131",M27="131"),H27='131-CT'!$E$7),"131",""))</f>
        <v/>
      </c>
      <c r="O27" s="50" t="str">
        <f>IF(AND($B27&gt;='111'!$N$11,$B27&lt;='111'!$O$11,OR($L27=$O$7,$M27=$O$7)),"x","")</f>
        <v/>
      </c>
      <c r="P27" s="50" t="str">
        <f>IF(AND($L27=$O$7,$B27&lt;'111'!$N$11),"x","")</f>
        <v/>
      </c>
      <c r="Q27" s="50" t="str">
        <f>IF(AND($M27=$O$7,$B27&lt;'111'!$N$11),"x","")</f>
        <v>x</v>
      </c>
      <c r="R27" s="50" t="str">
        <f>IF(ISERROR(FIND('112'!$M$9,G27,1)),"",IF((AND(FIND('112'!$M$9,G27,1)&gt;=1,$B27&gt;='112'!$N$8,$B27&lt;='112'!$O$8,OR($L27='112'!$I$6,$M27='112'!$I$6))),"x",""))</f>
        <v/>
      </c>
      <c r="S27" s="50" t="str">
        <f>IF(ISERROR(FIND('112'!$M$9,G27,1)),"",IF((AND(LEFT(G27,2)=LEFT('112'!$M$9,2),B27&lt;'112'!$N$8,$L27='112'!$I$6)),"x",""))</f>
        <v>x</v>
      </c>
      <c r="T27" s="50" t="str">
        <f>IF(ISERROR(FIND('112'!$M$9,G27,1)),"",IF((AND(RIGHT(G27,2)=RIGHT('112'!$M$9,2),B27&lt;'112'!$N$8,$M27='112'!$I$6)),"x",""))</f>
        <v/>
      </c>
      <c r="U27" s="50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0" t="str">
        <f>IF(OR(TH!L27=TH!$V$7,M27=TH!$V$7),"x","")</f>
        <v/>
      </c>
      <c r="W27" s="50" t="str">
        <f>IF(AND(B27&gt;='IN-NX'!$P$3,B27&lt;='IN-NX'!$Q$3,'IN-NX'!$D$7=D27,OR(LEFT(L27,2)="15",AND(LEFT(M27,2)&lt;&gt;"15",LEFT(M27,2)&lt;&gt;"33"))),"x","")</f>
        <v/>
      </c>
      <c r="X27" s="50" t="str">
        <f>IF(AND(OR(LEFT(TH!L27,2)="15",LEFT(TH!M27,2)="15"),'152-CT'!$J$8=TH!F27),"x","")</f>
        <v/>
      </c>
      <c r="Y27" s="50" t="str">
        <f>IF(AND(OR(LEFT(TH!L27,2)="15",LEFT(TH!M27,2)="15"),TK!$E$7=TH!F27),"x","")</f>
        <v/>
      </c>
      <c r="Z27" s="50" t="str">
        <f>IF(AND(B27&lt;=NKC!$N$8,B27&gt;=NKC!$M$8),"x","")</f>
        <v>x</v>
      </c>
      <c r="AA27" s="845"/>
      <c r="AC27" s="201"/>
    </row>
    <row r="28" spans="1:30" s="581" customFormat="1" ht="15.75" customHeight="1">
      <c r="A28" s="846" t="str">
        <f>IF(B28&lt;&gt;"",IF(AND(B28&gt;=_TM1,B28&lt;=_TM2,OR(TH!L28="1111",TH!M28="1111")),TH!D28,""),"")</f>
        <v/>
      </c>
      <c r="B28" s="36">
        <f>IF(C28&lt;&gt;"",MONTH(C28),"")</f>
        <v>8</v>
      </c>
      <c r="C28" s="187">
        <f>E28</f>
        <v>41136</v>
      </c>
      <c r="D28" s="180" t="s">
        <v>732</v>
      </c>
      <c r="E28" s="180">
        <v>41136</v>
      </c>
      <c r="F28" s="188" t="s">
        <v>646</v>
      </c>
      <c r="G28" s="853" t="s">
        <v>645</v>
      </c>
      <c r="H28" s="7" t="s">
        <v>644</v>
      </c>
      <c r="I28" s="249">
        <v>100</v>
      </c>
      <c r="J28" s="249">
        <v>25800</v>
      </c>
      <c r="K28" s="37">
        <f>ROUND(I28*J28,0)</f>
        <v>2580000</v>
      </c>
      <c r="L28" s="190" t="s">
        <v>167</v>
      </c>
      <c r="M28" s="190" t="s">
        <v>47</v>
      </c>
      <c r="N28" s="50" t="str">
        <f>IF(AND('331-CT'!$E$7=TH!H28,OR(L28="331",M28="331")),"331",IF(AND(OR(L28="131",M28="131"),H28='131-CT'!$E$7),"131",""))</f>
        <v/>
      </c>
      <c r="O28" s="50" t="str">
        <f>IF(AND($B28&gt;='111'!$N$11,$B28&lt;='111'!$O$11,OR($L28=$O$7,$M28=$O$7)),"x","")</f>
        <v/>
      </c>
      <c r="P28" s="50" t="str">
        <f>IF(AND($L28=$O$7,$B28&lt;'111'!$N$11),"x","")</f>
        <v/>
      </c>
      <c r="Q28" s="50" t="str">
        <f>IF(AND($M28=$O$7,$B28&lt;'111'!$N$11),"x","")</f>
        <v>x</v>
      </c>
      <c r="R28" s="50" t="str">
        <f>IF(ISERROR(FIND('112'!$M$9,G28,1)),"",IF((AND(FIND('112'!$M$9,G28,1)&gt;=1,$B28&gt;='112'!$N$8,$B28&lt;='112'!$O$8,OR($L28='112'!$I$6,$M28='112'!$I$6))),"x",""))</f>
        <v/>
      </c>
      <c r="S28" s="50" t="str">
        <f>IF(ISERROR(FIND('112'!$M$9,G28,1)),"",IF((AND(LEFT(G28,2)=LEFT('112'!$M$9,2),B28&lt;'112'!$N$8,$L28='112'!$I$6)),"x",""))</f>
        <v/>
      </c>
      <c r="T28" s="50" t="str">
        <f>IF(ISERROR(FIND('112'!$M$9,G28,1)),"",IF((AND(RIGHT(G28,2)=RIGHT('112'!$M$9,2),B28&lt;'112'!$N$8,$M28='112'!$I$6)),"x",""))</f>
        <v/>
      </c>
      <c r="U28" s="50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0" t="str">
        <f>IF(OR(TH!L28=TH!$V$7,M28=TH!$V$7),"x","")</f>
        <v/>
      </c>
      <c r="W28" s="50" t="str">
        <f>IF(AND(B28&gt;='IN-NX'!$P$3,B28&lt;='IN-NX'!$Q$3,'IN-NX'!$D$7=D28,OR(LEFT(L28,2)="15",AND(LEFT(M28,2)&lt;&gt;"15",LEFT(M28,2)&lt;&gt;"33"))),"x","")</f>
        <v/>
      </c>
      <c r="X28" s="50" t="str">
        <f>IF(AND(OR(LEFT(TH!L28,2)="15",LEFT(TH!M28,2)="15"),'152-CT'!$J$8=TH!F28),"x","")</f>
        <v/>
      </c>
      <c r="Y28" s="50" t="str">
        <f>IF(AND(OR(LEFT(TH!L28,2)="15",LEFT(TH!M28,2)="15"),TK!$E$7=TH!F28),"x","")</f>
        <v/>
      </c>
      <c r="Z28" s="50" t="str">
        <f>IF(AND(B28&lt;=NKC!$N$8,B28&gt;=NKC!$M$8),"x","")</f>
        <v>x</v>
      </c>
      <c r="AA28" s="845"/>
      <c r="AC28" s="201"/>
      <c r="AD28" s="201"/>
    </row>
    <row r="29" spans="1:30" s="581" customFormat="1" ht="15.75" customHeight="1">
      <c r="A29" s="846" t="str">
        <f>IF(B29&lt;&gt;"",IF(AND(B29&gt;=_TM1,B29&lt;=_TM2,OR(TH!L29="1111",TH!M29="1111")),TH!D29,""),"")</f>
        <v/>
      </c>
      <c r="B29" s="36">
        <f>IF(C29&lt;&gt;"",MONTH(C29),"")</f>
        <v>8</v>
      </c>
      <c r="C29" s="187">
        <f>E29</f>
        <v>41136</v>
      </c>
      <c r="D29" s="180" t="s">
        <v>732</v>
      </c>
      <c r="E29" s="180">
        <v>41136</v>
      </c>
      <c r="F29" s="188" t="s">
        <v>647</v>
      </c>
      <c r="G29" s="853" t="s">
        <v>645</v>
      </c>
      <c r="H29" s="7" t="s">
        <v>644</v>
      </c>
      <c r="I29" s="249"/>
      <c r="J29" s="249"/>
      <c r="K29" s="589">
        <v>258000</v>
      </c>
      <c r="L29" s="190" t="s">
        <v>9</v>
      </c>
      <c r="M29" s="190" t="s">
        <v>47</v>
      </c>
      <c r="N29" s="50" t="str">
        <f>IF(AND('331-CT'!$E$7=TH!H29,OR(L29="331",M29="331")),"331",IF(AND(OR(L29="131",M29="131"),H29='131-CT'!$E$7),"131",""))</f>
        <v/>
      </c>
      <c r="O29" s="50" t="str">
        <f>IF(AND($B29&gt;='111'!$N$11,$B29&lt;='111'!$O$11,OR($L29=$O$7,$M29=$O$7)),"x","")</f>
        <v/>
      </c>
      <c r="P29" s="50" t="str">
        <f>IF(AND($L29=$O$7,$B29&lt;'111'!$N$11),"x","")</f>
        <v/>
      </c>
      <c r="Q29" s="50" t="str">
        <f>IF(AND($M29=$O$7,$B29&lt;'111'!$N$11),"x","")</f>
        <v>x</v>
      </c>
      <c r="R29" s="50" t="str">
        <f>IF(ISERROR(FIND('112'!$M$9,G29,1)),"",IF((AND(FIND('112'!$M$9,G29,1)&gt;=1,$B29&gt;='112'!$N$8,$B29&lt;='112'!$O$8,OR($L29='112'!$I$6,$M29='112'!$I$6))),"x",""))</f>
        <v/>
      </c>
      <c r="S29" s="50" t="str">
        <f>IF(ISERROR(FIND('112'!$M$9,G29,1)),"",IF((AND(LEFT(G29,2)=LEFT('112'!$M$9,2),B29&lt;'112'!$N$8,$L29='112'!$I$6)),"x",""))</f>
        <v/>
      </c>
      <c r="T29" s="50" t="str">
        <f>IF(ISERROR(FIND('112'!$M$9,G29,1)),"",IF((AND(RIGHT(G29,2)=RIGHT('112'!$M$9,2),B29&lt;'112'!$N$8,$M29='112'!$I$6)),"x",""))</f>
        <v/>
      </c>
      <c r="U29" s="50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0" t="str">
        <f>IF(OR(TH!L29=TH!$V$7,M29=TH!$V$7),"x","")</f>
        <v/>
      </c>
      <c r="W29" s="50" t="str">
        <f>IF(AND(B29&gt;='IN-NX'!$P$3,B29&lt;='IN-NX'!$Q$3,'IN-NX'!$D$7=D29,OR(LEFT(L29,2)="15",AND(LEFT(M29,2)&lt;&gt;"15",LEFT(M29,2)&lt;&gt;"33"))),"x","")</f>
        <v/>
      </c>
      <c r="X29" s="50" t="str">
        <f>IF(AND(OR(LEFT(TH!L29,2)="15",LEFT(TH!M29,2)="15"),'152-CT'!$J$8=TH!F29),"x","")</f>
        <v/>
      </c>
      <c r="Y29" s="50" t="str">
        <f>IF(AND(OR(LEFT(TH!L29,2)="15",LEFT(TH!M29,2)="15"),TK!$E$7=TH!F29),"x","")</f>
        <v/>
      </c>
      <c r="Z29" s="50" t="str">
        <f>IF(AND(B29&lt;=NKC!$N$8,B29&gt;=NKC!$M$8),"x","")</f>
        <v>x</v>
      </c>
      <c r="AA29" s="845"/>
      <c r="AC29" s="201"/>
      <c r="AD29" s="201"/>
    </row>
    <row r="30" spans="1:30" s="581" customFormat="1" ht="15.75" customHeight="1">
      <c r="A30" s="846" t="str">
        <f>IF(B30&lt;&gt;"",IF(AND(B30&gt;=_TM1,B30&lt;=_TM2,OR(TH!L30="1111",TH!M30="1111")),TH!D30,""),"")</f>
        <v/>
      </c>
      <c r="B30" s="36">
        <f>IF(C30&lt;&gt;"",MONTH(C30),"")</f>
        <v>8</v>
      </c>
      <c r="C30" s="187">
        <f>E30</f>
        <v>41142</v>
      </c>
      <c r="D30" s="180" t="s">
        <v>733</v>
      </c>
      <c r="E30" s="180">
        <v>41142</v>
      </c>
      <c r="F30" s="188" t="s">
        <v>629</v>
      </c>
      <c r="G30" s="853" t="s">
        <v>631</v>
      </c>
      <c r="H30" s="189" t="s">
        <v>628</v>
      </c>
      <c r="I30" s="249"/>
      <c r="J30" s="249"/>
      <c r="K30" s="589">
        <v>3400000</v>
      </c>
      <c r="L30" s="190" t="s">
        <v>83</v>
      </c>
      <c r="M30" s="190" t="s">
        <v>47</v>
      </c>
      <c r="N30" s="50" t="str">
        <f>IF(AND('331-CT'!$E$7=TH!H30,OR(L30="331",M30="331")),"331",IF(AND(OR(L30="131",M30="131"),H30='131-CT'!$E$7),"131",""))</f>
        <v/>
      </c>
      <c r="O30" s="50" t="str">
        <f>IF(AND($B30&gt;='111'!$N$11,$B30&lt;='111'!$O$11,OR($L30=$O$7,$M30=$O$7)),"x","")</f>
        <v/>
      </c>
      <c r="P30" s="50" t="str">
        <f>IF(AND($L30=$O$7,$B30&lt;'111'!$N$11),"x","")</f>
        <v/>
      </c>
      <c r="Q30" s="50" t="str">
        <f>IF(AND($M30=$O$7,$B30&lt;'111'!$N$11),"x","")</f>
        <v>x</v>
      </c>
      <c r="R30" s="50" t="str">
        <f>IF(ISERROR(FIND('112'!$M$9,G30,1)),"",IF((AND(FIND('112'!$M$9,G30,1)&gt;=1,$B30&gt;='112'!$N$8,$B30&lt;='112'!$O$8,OR($L30='112'!$I$6,$M30='112'!$I$6))),"x",""))</f>
        <v/>
      </c>
      <c r="S30" s="50" t="str">
        <f>IF(ISERROR(FIND('112'!$M$9,G30,1)),"",IF((AND(LEFT(G30,2)=LEFT('112'!$M$9,2),B30&lt;'112'!$N$8,$L30='112'!$I$6)),"x",""))</f>
        <v/>
      </c>
      <c r="T30" s="50" t="str">
        <f>IF(ISERROR(FIND('112'!$M$9,G30,1)),"",IF((AND(RIGHT(G30,2)=RIGHT('112'!$M$9,2),B30&lt;'112'!$N$8,$M30='112'!$I$6)),"x",""))</f>
        <v/>
      </c>
      <c r="U30" s="50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0" t="str">
        <f>IF(OR(TH!L30=TH!$V$7,M30=TH!$V$7),"x","")</f>
        <v>x</v>
      </c>
      <c r="W30" s="50" t="str">
        <f>IF(AND(B30&gt;='IN-NX'!$P$3,B30&lt;='IN-NX'!$Q$3,'IN-NX'!$D$7=D30,OR(LEFT(L30,2)="15",AND(LEFT(M30,2)&lt;&gt;"15",LEFT(M30,2)&lt;&gt;"33"))),"x","")</f>
        <v/>
      </c>
      <c r="X30" s="50" t="str">
        <f>IF(AND(OR(LEFT(TH!L30,2)="15",LEFT(TH!M30,2)="15"),'152-CT'!$J$8=TH!F30),"x","")</f>
        <v/>
      </c>
      <c r="Y30" s="50" t="str">
        <f>IF(AND(OR(LEFT(TH!L30,2)="15",LEFT(TH!M30,2)="15"),TK!$E$7=TH!F30),"x","")</f>
        <v/>
      </c>
      <c r="Z30" s="50" t="str">
        <f>IF(AND(B30&lt;=NKC!$N$8,B30&gt;=NKC!$M$8),"x","")</f>
        <v>x</v>
      </c>
      <c r="AA30" s="845"/>
      <c r="AC30" s="201"/>
      <c r="AD30" s="201"/>
    </row>
    <row r="31" spans="1:30" s="581" customFormat="1" ht="15.75" customHeight="1">
      <c r="A31" s="846" t="str">
        <f>IF(B31&lt;&gt;"",IF(AND(B31&gt;=_TM1,B31&lt;=_TM2,OR(TH!L31="1111",TH!M31="1111")),TH!D31,""),"")</f>
        <v/>
      </c>
      <c r="B31" s="36">
        <f>IF(C31&lt;&gt;"",MONTH(C31),"")</f>
        <v>8</v>
      </c>
      <c r="C31" s="187">
        <f>E31</f>
        <v>41142</v>
      </c>
      <c r="D31" s="180" t="s">
        <v>733</v>
      </c>
      <c r="E31" s="180">
        <v>41142</v>
      </c>
      <c r="F31" s="188" t="s">
        <v>630</v>
      </c>
      <c r="G31" s="853" t="s">
        <v>631</v>
      </c>
      <c r="H31" s="189" t="s">
        <v>628</v>
      </c>
      <c r="I31" s="249"/>
      <c r="J31" s="249"/>
      <c r="K31" s="37">
        <v>340000</v>
      </c>
      <c r="L31" s="190" t="s">
        <v>9</v>
      </c>
      <c r="M31" s="190" t="s">
        <v>47</v>
      </c>
      <c r="N31" s="50" t="str">
        <f>IF(AND('331-CT'!$E$7=TH!H31,OR(L31="331",M31="331")),"331",IF(AND(OR(L31="131",M31="131"),H31='131-CT'!$E$7),"131",""))</f>
        <v/>
      </c>
      <c r="O31" s="50" t="str">
        <f>IF(AND($B31&gt;='111'!$N$11,$B31&lt;='111'!$O$11,OR($L31=$O$7,$M31=$O$7)),"x","")</f>
        <v/>
      </c>
      <c r="P31" s="50" t="str">
        <f>IF(AND($L31=$O$7,$B31&lt;'111'!$N$11),"x","")</f>
        <v/>
      </c>
      <c r="Q31" s="50" t="str">
        <f>IF(AND($M31=$O$7,$B31&lt;'111'!$N$11),"x","")</f>
        <v>x</v>
      </c>
      <c r="R31" s="50" t="str">
        <f>IF(ISERROR(FIND('112'!$M$9,G31,1)),"",IF((AND(FIND('112'!$M$9,G31,1)&gt;=1,$B31&gt;='112'!$N$8,$B31&lt;='112'!$O$8,OR($L31='112'!$I$6,$M31='112'!$I$6))),"x",""))</f>
        <v/>
      </c>
      <c r="S31" s="50" t="str">
        <f>IF(ISERROR(FIND('112'!$M$9,G31,1)),"",IF((AND(LEFT(G31,2)=LEFT('112'!$M$9,2),B31&lt;'112'!$N$8,$L31='112'!$I$6)),"x",""))</f>
        <v/>
      </c>
      <c r="T31" s="50" t="str">
        <f>IF(ISERROR(FIND('112'!$M$9,G31,1)),"",IF((AND(RIGHT(G31,2)=RIGHT('112'!$M$9,2),B31&lt;'112'!$N$8,$M31='112'!$I$6)),"x",""))</f>
        <v/>
      </c>
      <c r="U31" s="50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0" t="str">
        <f>IF(OR(TH!L31=TH!$V$7,M31=TH!$V$7),"x","")</f>
        <v/>
      </c>
      <c r="W31" s="50" t="str">
        <f>IF(AND(B31&gt;='IN-NX'!$P$3,B31&lt;='IN-NX'!$Q$3,'IN-NX'!$D$7=D31,OR(LEFT(L31,2)="15",AND(LEFT(M31,2)&lt;&gt;"15",LEFT(M31,2)&lt;&gt;"33"))),"x","")</f>
        <v/>
      </c>
      <c r="X31" s="50" t="str">
        <f>IF(AND(OR(LEFT(TH!L31,2)="15",LEFT(TH!M31,2)="15"),'152-CT'!$J$8=TH!F31),"x","")</f>
        <v/>
      </c>
      <c r="Y31" s="50" t="str">
        <f>IF(AND(OR(LEFT(TH!L31,2)="15",LEFT(TH!M31,2)="15"),TK!$E$7=TH!F31),"x","")</f>
        <v/>
      </c>
      <c r="Z31" s="50" t="str">
        <f>IF(AND(B31&lt;=NKC!$N$8,B31&gt;=NKC!$M$8),"x","")</f>
        <v>x</v>
      </c>
      <c r="AA31" s="845"/>
      <c r="AC31" s="201"/>
      <c r="AD31" s="201"/>
    </row>
    <row r="32" spans="1:30" s="581" customFormat="1" ht="15.75" customHeight="1">
      <c r="A32" s="846" t="str">
        <f>IF(B32&lt;&gt;"",IF(AND(B32&gt;=_TM1,B32&lt;=_TM2,OR(TH!L32="1111",TH!M32="1111")),TH!D32,""),"")</f>
        <v/>
      </c>
      <c r="B32" s="36">
        <f>IF(C32&lt;&gt;"",MONTH(C32),"")</f>
        <v>8</v>
      </c>
      <c r="C32" s="187">
        <f>E32</f>
        <v>41146</v>
      </c>
      <c r="D32" s="180" t="s">
        <v>729</v>
      </c>
      <c r="E32" s="180">
        <v>41146</v>
      </c>
      <c r="F32" s="185" t="s">
        <v>717</v>
      </c>
      <c r="G32" s="853" t="s">
        <v>616</v>
      </c>
      <c r="H32" s="189"/>
      <c r="I32" s="249"/>
      <c r="J32" s="249"/>
      <c r="K32" s="589">
        <v>11000</v>
      </c>
      <c r="L32" s="590" t="s">
        <v>83</v>
      </c>
      <c r="M32" s="590" t="s">
        <v>24</v>
      </c>
      <c r="N32" s="50" t="str">
        <f>IF(AND('331-CT'!$E$7=TH!H32,OR(L32="331",M32="331")),"331",IF(AND(OR(L32="131",M32="131"),H32='131-CT'!$E$7),"131",""))</f>
        <v/>
      </c>
      <c r="O32" s="50" t="str">
        <f>IF(AND($B32&gt;='111'!$N$11,$B32&lt;='111'!$O$11,OR($L32=$O$7,$M32=$O$7)),"x","")</f>
        <v/>
      </c>
      <c r="P32" s="50" t="str">
        <f>IF(AND($L32=$O$7,$B32&lt;'111'!$N$11),"x","")</f>
        <v/>
      </c>
      <c r="Q32" s="50" t="str">
        <f>IF(AND($M32=$O$7,$B32&lt;'111'!$N$11),"x","")</f>
        <v/>
      </c>
      <c r="R32" s="50" t="str">
        <f>IF(ISERROR(FIND('112'!$M$9,G32,1)),"",IF((AND(FIND('112'!$M$9,G32,1)&gt;=1,$B32&gt;='112'!$N$8,$B32&lt;='112'!$O$8,OR($L32='112'!$I$6,$M32='112'!$I$6))),"x",""))</f>
        <v/>
      </c>
      <c r="S32" s="50" t="str">
        <f>IF(ISERROR(FIND('112'!$M$9,G32,1)),"",IF((AND(LEFT(G32,2)=LEFT('112'!$M$9,2),B32&lt;'112'!$N$8,$L32='112'!$I$6)),"x",""))</f>
        <v/>
      </c>
      <c r="T32" s="50" t="str">
        <f>IF(ISERROR(FIND('112'!$M$9,G32,1)),"",IF((AND(RIGHT(G32,2)=RIGHT('112'!$M$9,2),B32&lt;'112'!$N$8,$M32='112'!$I$6)),"x",""))</f>
        <v>x</v>
      </c>
      <c r="U32" s="50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0" t="str">
        <f>IF(OR(TH!L32=TH!$V$7,M32=TH!$V$7),"x","")</f>
        <v>x</v>
      </c>
      <c r="W32" s="50" t="str">
        <f>IF(AND(B32&gt;='IN-NX'!$P$3,B32&lt;='IN-NX'!$Q$3,'IN-NX'!$D$7=D32,OR(LEFT(L32,2)="15",AND(LEFT(M32,2)&lt;&gt;"15",LEFT(M32,2)&lt;&gt;"33"))),"x","")</f>
        <v/>
      </c>
      <c r="X32" s="50" t="str">
        <f>IF(AND(OR(LEFT(TH!L32,2)="15",LEFT(TH!M32,2)="15"),'152-CT'!$J$8=TH!F32),"x","")</f>
        <v/>
      </c>
      <c r="Y32" s="50" t="str">
        <f>IF(AND(OR(LEFT(TH!L32,2)="15",LEFT(TH!M32,2)="15"),TK!$E$7=TH!F32),"x","")</f>
        <v/>
      </c>
      <c r="Z32" s="50" t="str">
        <f>IF(AND(B32&lt;=NKC!$N$8,B32&gt;=NKC!$M$8),"x","")</f>
        <v>x</v>
      </c>
      <c r="AA32" s="845"/>
      <c r="AC32" s="201"/>
    </row>
    <row r="33" spans="1:30" s="581" customFormat="1" ht="15.75" customHeight="1">
      <c r="A33" s="846" t="str">
        <f>IF(B33&lt;&gt;"",IF(AND(B33&gt;=_TM1,B33&lt;=_TM2,OR(TH!L33="1111",TH!M33="1111")),TH!D33,""),"")</f>
        <v/>
      </c>
      <c r="B33" s="36">
        <f>IF(C33&lt;&gt;"",MONTH(C33),"")</f>
        <v>9</v>
      </c>
      <c r="C33" s="187">
        <f>E33</f>
        <v>41153</v>
      </c>
      <c r="D33" s="187" t="s">
        <v>742</v>
      </c>
      <c r="E33" s="180">
        <v>41153</v>
      </c>
      <c r="F33" s="185" t="s">
        <v>635</v>
      </c>
      <c r="G33" s="853" t="s">
        <v>633</v>
      </c>
      <c r="H33" s="7" t="s">
        <v>632</v>
      </c>
      <c r="I33" s="249">
        <v>600</v>
      </c>
      <c r="J33" s="249">
        <v>11048</v>
      </c>
      <c r="K33" s="37">
        <f>ROUND(I33*J33,0)</f>
        <v>6628800</v>
      </c>
      <c r="L33" s="190" t="s">
        <v>617</v>
      </c>
      <c r="M33" s="190" t="s">
        <v>8</v>
      </c>
      <c r="N33" s="50" t="str">
        <f>IF(AND('331-CT'!$E$7=TH!H33,OR(L33="331",M33="331")),"331",IF(AND(OR(L33="131",M33="131"),H33='131-CT'!$E$7),"131",""))</f>
        <v>331</v>
      </c>
      <c r="O33" s="50" t="str">
        <f>IF(AND($B33&gt;='111'!$N$11,$B33&lt;='111'!$O$11,OR($L33=$O$7,$M33=$O$7)),"x","")</f>
        <v/>
      </c>
      <c r="P33" s="50" t="str">
        <f>IF(AND($L33=$O$7,$B33&lt;'111'!$N$11),"x","")</f>
        <v/>
      </c>
      <c r="Q33" s="50" t="str">
        <f>IF(AND($M33=$O$7,$B33&lt;'111'!$N$11),"x","")</f>
        <v/>
      </c>
      <c r="R33" s="50" t="str">
        <f>IF(ISERROR(FIND('112'!$M$9,G33,1)),"",IF((AND(FIND('112'!$M$9,G33,1)&gt;=1,$B33&gt;='112'!$N$8,$B33&lt;='112'!$O$8,OR($L33='112'!$I$6,$M33='112'!$I$6))),"x",""))</f>
        <v/>
      </c>
      <c r="S33" s="50" t="str">
        <f>IF(ISERROR(FIND('112'!$M$9,G33,1)),"",IF((AND(LEFT(G33,2)=LEFT('112'!$M$9,2),B33&lt;'112'!$N$8,$L33='112'!$I$6)),"x",""))</f>
        <v/>
      </c>
      <c r="T33" s="50" t="str">
        <f>IF(ISERROR(FIND('112'!$M$9,G33,1)),"",IF((AND(RIGHT(G33,2)=RIGHT('112'!$M$9,2),B33&lt;'112'!$N$8,$M33='112'!$I$6)),"x",""))</f>
        <v/>
      </c>
      <c r="U33" s="50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0" t="str">
        <f>IF(OR(TH!L33=TH!$V$7,M33=TH!$V$7),"x","")</f>
        <v/>
      </c>
      <c r="W33" s="50" t="str">
        <f>IF(AND(B33&gt;='IN-NX'!$P$3,B33&lt;='IN-NX'!$Q$3,'IN-NX'!$D$7=D33,OR(LEFT(L33,2)="15",AND(LEFT(M33,2)&lt;&gt;"15",LEFT(M33,2)&lt;&gt;"33"))),"x","")</f>
        <v>x</v>
      </c>
      <c r="X33" s="50" t="str">
        <f>IF(AND(OR(LEFT(TH!L33,2)="15",LEFT(TH!M33,2)="15"),'152-CT'!$J$8=TH!F33),"x","")</f>
        <v/>
      </c>
      <c r="Y33" s="50" t="str">
        <f>IF(AND(OR(LEFT(TH!L33,2)="15",LEFT(TH!M33,2)="15"),TK!$E$7=TH!F33),"x","")</f>
        <v/>
      </c>
      <c r="Z33" s="50" t="str">
        <f>IF(AND(B33&lt;=NKC!$N$8,B33&gt;=NKC!$M$8),"x","")</f>
        <v>x</v>
      </c>
      <c r="AA33" s="845"/>
      <c r="AC33" s="201"/>
      <c r="AD33" s="201"/>
    </row>
    <row r="34" spans="1:30" s="581" customFormat="1" ht="15.75" customHeight="1">
      <c r="A34" s="846" t="str">
        <f>IF(B34&lt;&gt;"",IF(AND(B34&gt;=_TM1,B34&lt;=_TM2,OR(TH!L34="1111",TH!M34="1111")),TH!D34,""),"")</f>
        <v/>
      </c>
      <c r="B34" s="36">
        <f>IF(C34&lt;&gt;"",MONTH(C34),"")</f>
        <v>9</v>
      </c>
      <c r="C34" s="187">
        <f>E34</f>
        <v>41153</v>
      </c>
      <c r="D34" s="187" t="s">
        <v>742</v>
      </c>
      <c r="E34" s="180">
        <v>41153</v>
      </c>
      <c r="F34" s="185" t="s">
        <v>636</v>
      </c>
      <c r="G34" s="853" t="s">
        <v>633</v>
      </c>
      <c r="H34" s="7" t="s">
        <v>632</v>
      </c>
      <c r="I34" s="249">
        <v>600</v>
      </c>
      <c r="J34" s="249">
        <v>10844</v>
      </c>
      <c r="K34" s="37">
        <f>ROUND(I34*J34,0)</f>
        <v>6506400</v>
      </c>
      <c r="L34" s="190" t="s">
        <v>617</v>
      </c>
      <c r="M34" s="190" t="s">
        <v>8</v>
      </c>
      <c r="N34" s="50" t="str">
        <f>IF(AND('331-CT'!$E$7=TH!H34,OR(L34="331",M34="331")),"331",IF(AND(OR(L34="131",M34="131"),H34='131-CT'!$E$7),"131",""))</f>
        <v>331</v>
      </c>
      <c r="O34" s="50" t="str">
        <f>IF(AND($B34&gt;='111'!$N$11,$B34&lt;='111'!$O$11,OR($L34=$O$7,$M34=$O$7)),"x","")</f>
        <v/>
      </c>
      <c r="P34" s="50" t="str">
        <f>IF(AND($L34=$O$7,$B34&lt;'111'!$N$11),"x","")</f>
        <v/>
      </c>
      <c r="Q34" s="50" t="str">
        <f>IF(AND($M34=$O$7,$B34&lt;'111'!$N$11),"x","")</f>
        <v/>
      </c>
      <c r="R34" s="50" t="str">
        <f>IF(ISERROR(FIND('112'!$M$9,G34,1)),"",IF((AND(FIND('112'!$M$9,G34,1)&gt;=1,$B34&gt;='112'!$N$8,$B34&lt;='112'!$O$8,OR($L34='112'!$I$6,$M34='112'!$I$6))),"x",""))</f>
        <v/>
      </c>
      <c r="S34" s="50" t="str">
        <f>IF(ISERROR(FIND('112'!$M$9,G34,1)),"",IF((AND(LEFT(G34,2)=LEFT('112'!$M$9,2),B34&lt;'112'!$N$8,$L34='112'!$I$6)),"x",""))</f>
        <v/>
      </c>
      <c r="T34" s="50" t="str">
        <f>IF(ISERROR(FIND('112'!$M$9,G34,1)),"",IF((AND(RIGHT(G34,2)=RIGHT('112'!$M$9,2),B34&lt;'112'!$N$8,$M34='112'!$I$6)),"x",""))</f>
        <v/>
      </c>
      <c r="U34" s="50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0" t="str">
        <f>IF(OR(TH!L34=TH!$V$7,M34=TH!$V$7),"x","")</f>
        <v/>
      </c>
      <c r="W34" s="50" t="str">
        <f>IF(AND(B34&gt;='IN-NX'!$P$3,B34&lt;='IN-NX'!$Q$3,'IN-NX'!$D$7=D34,OR(LEFT(L34,2)="15",AND(LEFT(M34,2)&lt;&gt;"15",LEFT(M34,2)&lt;&gt;"33"))),"x","")</f>
        <v>x</v>
      </c>
      <c r="X34" s="50" t="str">
        <f>IF(AND(OR(LEFT(TH!L34,2)="15",LEFT(TH!M34,2)="15"),'152-CT'!$J$8=TH!F34),"x","")</f>
        <v/>
      </c>
      <c r="Y34" s="50" t="str">
        <f>IF(AND(OR(LEFT(TH!L34,2)="15",LEFT(TH!M34,2)="15"),TK!$E$7=TH!F34),"x","")</f>
        <v/>
      </c>
      <c r="Z34" s="50" t="str">
        <f>IF(AND(B34&lt;=NKC!$N$8,B34&gt;=NKC!$M$8),"x","")</f>
        <v>x</v>
      </c>
      <c r="AA34" s="845"/>
      <c r="AC34" s="201"/>
      <c r="AD34" s="201"/>
    </row>
    <row r="35" spans="1:30" s="581" customFormat="1" ht="15.75" customHeight="1">
      <c r="A35" s="846" t="str">
        <f>IF(B35&lt;&gt;"",IF(AND(B35&gt;=_TM1,B35&lt;=_TM2,OR(TH!L35="1111",TH!M35="1111")),TH!D35,""),"")</f>
        <v/>
      </c>
      <c r="B35" s="36">
        <f>IF(C35&lt;&gt;"",MONTH(C35),"")</f>
        <v>9</v>
      </c>
      <c r="C35" s="187">
        <f>E35</f>
        <v>41153</v>
      </c>
      <c r="D35" s="187" t="s">
        <v>742</v>
      </c>
      <c r="E35" s="180">
        <v>41153</v>
      </c>
      <c r="F35" s="185" t="s">
        <v>634</v>
      </c>
      <c r="G35" s="853" t="s">
        <v>633</v>
      </c>
      <c r="H35" s="7" t="s">
        <v>632</v>
      </c>
      <c r="I35" s="249"/>
      <c r="J35" s="249"/>
      <c r="K35" s="37">
        <v>1313520</v>
      </c>
      <c r="L35" s="190" t="s">
        <v>9</v>
      </c>
      <c r="M35" s="190" t="s">
        <v>8</v>
      </c>
      <c r="N35" s="50" t="str">
        <f>IF(AND('331-CT'!$E$7=TH!H35,OR(L35="331",M35="331")),"331",IF(AND(OR(L35="131",M35="131"),H35='131-CT'!$E$7),"131",""))</f>
        <v>331</v>
      </c>
      <c r="O35" s="50" t="str">
        <f>IF(AND($B35&gt;='111'!$N$11,$B35&lt;='111'!$O$11,OR($L35=$O$7,$M35=$O$7)),"x","")</f>
        <v/>
      </c>
      <c r="P35" s="50" t="str">
        <f>IF(AND($L35=$O$7,$B35&lt;'111'!$N$11),"x","")</f>
        <v/>
      </c>
      <c r="Q35" s="50" t="str">
        <f>IF(AND($M35=$O$7,$B35&lt;'111'!$N$11),"x","")</f>
        <v/>
      </c>
      <c r="R35" s="50" t="str">
        <f>IF(ISERROR(FIND('112'!$M$9,G35,1)),"",IF((AND(FIND('112'!$M$9,G35,1)&gt;=1,$B35&gt;='112'!$N$8,$B35&lt;='112'!$O$8,OR($L35='112'!$I$6,$M35='112'!$I$6))),"x",""))</f>
        <v/>
      </c>
      <c r="S35" s="50" t="str">
        <f>IF(ISERROR(FIND('112'!$M$9,G35,1)),"",IF((AND(LEFT(G35,2)=LEFT('112'!$M$9,2),B35&lt;'112'!$N$8,$L35='112'!$I$6)),"x",""))</f>
        <v/>
      </c>
      <c r="T35" s="50" t="str">
        <f>IF(ISERROR(FIND('112'!$M$9,G35,1)),"",IF((AND(RIGHT(G35,2)=RIGHT('112'!$M$9,2),B35&lt;'112'!$N$8,$M35='112'!$I$6)),"x",""))</f>
        <v/>
      </c>
      <c r="U35" s="50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0" t="str">
        <f>IF(OR(TH!L35=TH!$V$7,M35=TH!$V$7),"x","")</f>
        <v/>
      </c>
      <c r="W35" s="50" t="str">
        <f>IF(AND(B35&gt;='IN-NX'!$P$3,B35&lt;='IN-NX'!$Q$3,'IN-NX'!$D$7=D35,OR(LEFT(L35,2)="15",AND(LEFT(M35,2)&lt;&gt;"15",LEFT(M35,2)&lt;&gt;"33"))),"x","")</f>
        <v/>
      </c>
      <c r="X35" s="50" t="str">
        <f>IF(AND(OR(LEFT(TH!L35,2)="15",LEFT(TH!M35,2)="15"),'152-CT'!$J$8=TH!F35),"x","")</f>
        <v/>
      </c>
      <c r="Y35" s="50" t="str">
        <f>IF(AND(OR(LEFT(TH!L35,2)="15",LEFT(TH!M35,2)="15"),TK!$E$7=TH!F35),"x","")</f>
        <v/>
      </c>
      <c r="Z35" s="50" t="str">
        <f>IF(AND(B35&lt;=NKC!$N$8,B35&gt;=NKC!$M$8),"x","")</f>
        <v>x</v>
      </c>
      <c r="AA35" s="845"/>
      <c r="AC35" s="201"/>
      <c r="AD35" s="201"/>
    </row>
    <row r="36" spans="1:30" s="581" customFormat="1" ht="15.75" customHeight="1">
      <c r="A36" s="846" t="str">
        <f>IF(B36&lt;&gt;"",IF(AND(B36&gt;=_TM1,B36&lt;=_TM2,OR(TH!L36="1111",TH!M36="1111")),TH!D36,""),"")</f>
        <v/>
      </c>
      <c r="B36" s="36">
        <f>IF(C36&lt;&gt;"",MONTH(C36),"")</f>
        <v>9</v>
      </c>
      <c r="C36" s="187">
        <f>E36</f>
        <v>41153</v>
      </c>
      <c r="D36" s="180" t="s">
        <v>734</v>
      </c>
      <c r="E36" s="180">
        <v>41153</v>
      </c>
      <c r="F36" s="185" t="s">
        <v>730</v>
      </c>
      <c r="G36" s="853" t="s">
        <v>633</v>
      </c>
      <c r="H36" s="7" t="s">
        <v>632</v>
      </c>
      <c r="I36" s="249"/>
      <c r="J36" s="249"/>
      <c r="K36" s="37">
        <v>14448720</v>
      </c>
      <c r="L36" s="190" t="s">
        <v>8</v>
      </c>
      <c r="M36" s="190" t="s">
        <v>47</v>
      </c>
      <c r="N36" s="50" t="str">
        <f>IF(AND('331-CT'!$E$7=TH!H36,OR(L36="331",M36="331")),"331",IF(AND(OR(L36="131",M36="131"),H36='131-CT'!$E$7),"131",""))</f>
        <v>331</v>
      </c>
      <c r="O36" s="50" t="str">
        <f>IF(AND($B36&gt;='111'!$N$11,$B36&lt;='111'!$O$11,OR($L36=$O$7,$M36=$O$7)),"x","")</f>
        <v/>
      </c>
      <c r="P36" s="50" t="str">
        <f>IF(AND($L36=$O$7,$B36&lt;'111'!$N$11),"x","")</f>
        <v/>
      </c>
      <c r="Q36" s="50" t="str">
        <f>IF(AND($M36=$O$7,$B36&lt;'111'!$N$11),"x","")</f>
        <v>x</v>
      </c>
      <c r="R36" s="50" t="str">
        <f>IF(ISERROR(FIND('112'!$M$9,G36,1)),"",IF((AND(FIND('112'!$M$9,G36,1)&gt;=1,$B36&gt;='112'!$N$8,$B36&lt;='112'!$O$8,OR($L36='112'!$I$6,$M36='112'!$I$6))),"x",""))</f>
        <v/>
      </c>
      <c r="S36" s="50" t="str">
        <f>IF(ISERROR(FIND('112'!$M$9,G36,1)),"",IF((AND(LEFT(G36,2)=LEFT('112'!$M$9,2),B36&lt;'112'!$N$8,$L36='112'!$I$6)),"x",""))</f>
        <v/>
      </c>
      <c r="T36" s="50" t="str">
        <f>IF(ISERROR(FIND('112'!$M$9,G36,1)),"",IF((AND(RIGHT(G36,2)=RIGHT('112'!$M$9,2),B36&lt;'112'!$N$8,$M36='112'!$I$6)),"x",""))</f>
        <v/>
      </c>
      <c r="U36" s="50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0" t="str">
        <f>IF(OR(TH!L36=TH!$V$7,M36=TH!$V$7),"x","")</f>
        <v/>
      </c>
      <c r="W36" s="50" t="str">
        <f>IF(AND(B36&gt;='IN-NX'!$P$3,B36&lt;='IN-NX'!$Q$3,'IN-NX'!$D$7=D36,OR(LEFT(L36,2)="15",AND(LEFT(M36,2)&lt;&gt;"15",LEFT(M36,2)&lt;&gt;"33"))),"x","")</f>
        <v/>
      </c>
      <c r="X36" s="50" t="str">
        <f>IF(AND(OR(LEFT(TH!L36,2)="15",LEFT(TH!M36,2)="15"),'152-CT'!$J$8=TH!F36),"x","")</f>
        <v/>
      </c>
      <c r="Y36" s="50" t="str">
        <f>IF(AND(OR(LEFT(TH!L36,2)="15",LEFT(TH!M36,2)="15"),TK!$E$7=TH!F36),"x","")</f>
        <v/>
      </c>
      <c r="Z36" s="50" t="str">
        <f>IF(AND(B36&lt;=NKC!$N$8,B36&gt;=NKC!$M$8),"x","")</f>
        <v>x</v>
      </c>
      <c r="AA36" s="845"/>
      <c r="AC36" s="201"/>
      <c r="AD36" s="201"/>
    </row>
    <row r="37" spans="1:30" s="581" customFormat="1" ht="15.75" customHeight="1">
      <c r="A37" s="846" t="str">
        <f>IF(B37&lt;&gt;"",IF(AND(B37&gt;=_TM1,B37&lt;=_TM2,OR(TH!L37="1111",TH!M37="1111")),TH!D37,""),"")</f>
        <v/>
      </c>
      <c r="B37" s="36">
        <f>IF(C37&lt;&gt;"",MONTH(C37),"")</f>
        <v>9</v>
      </c>
      <c r="C37" s="187">
        <f>E37</f>
        <v>41155</v>
      </c>
      <c r="D37" s="187" t="s">
        <v>744</v>
      </c>
      <c r="E37" s="180">
        <v>41155</v>
      </c>
      <c r="F37" s="185" t="s">
        <v>637</v>
      </c>
      <c r="G37" s="853" t="s">
        <v>639</v>
      </c>
      <c r="H37" s="7" t="s">
        <v>632</v>
      </c>
      <c r="I37" s="249">
        <v>500</v>
      </c>
      <c r="J37" s="249">
        <v>10286</v>
      </c>
      <c r="K37" s="37">
        <f>ROUND(I37*J37,0)</f>
        <v>5143000</v>
      </c>
      <c r="L37" s="190" t="s">
        <v>617</v>
      </c>
      <c r="M37" s="190" t="s">
        <v>8</v>
      </c>
      <c r="N37" s="50" t="str">
        <f>IF(AND('331-CT'!$E$7=TH!H37,OR(L37="331",M37="331")),"331",IF(AND(OR(L37="131",M37="131"),H37='131-CT'!$E$7),"131",""))</f>
        <v>331</v>
      </c>
      <c r="O37" s="50" t="str">
        <f>IF(AND($B37&gt;='111'!$N$11,$B37&lt;='111'!$O$11,OR($L37=$O$7,$M37=$O$7)),"x","")</f>
        <v/>
      </c>
      <c r="P37" s="50" t="str">
        <f>IF(AND($L37=$O$7,$B37&lt;'111'!$N$11),"x","")</f>
        <v/>
      </c>
      <c r="Q37" s="50" t="str">
        <f>IF(AND($M37=$O$7,$B37&lt;'111'!$N$11),"x","")</f>
        <v/>
      </c>
      <c r="R37" s="50" t="str">
        <f>IF(ISERROR(FIND('112'!$M$9,G37,1)),"",IF((AND(FIND('112'!$M$9,G37,1)&gt;=1,$B37&gt;='112'!$N$8,$B37&lt;='112'!$O$8,OR($L37='112'!$I$6,$M37='112'!$I$6))),"x",""))</f>
        <v/>
      </c>
      <c r="S37" s="50" t="str">
        <f>IF(ISERROR(FIND('112'!$M$9,G37,1)),"",IF((AND(LEFT(G37,2)=LEFT('112'!$M$9,2),B37&lt;'112'!$N$8,$L37='112'!$I$6)),"x",""))</f>
        <v/>
      </c>
      <c r="T37" s="50" t="str">
        <f>IF(ISERROR(FIND('112'!$M$9,G37,1)),"",IF((AND(RIGHT(G37,2)=RIGHT('112'!$M$9,2),B37&lt;'112'!$N$8,$M37='112'!$I$6)),"x",""))</f>
        <v/>
      </c>
      <c r="U37" s="50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0" t="str">
        <f>IF(OR(TH!L37=TH!$V$7,M37=TH!$V$7),"x","")</f>
        <v/>
      </c>
      <c r="W37" s="50" t="str">
        <f>IF(AND(B37&gt;='IN-NX'!$P$3,B37&lt;='IN-NX'!$Q$3,'IN-NX'!$D$7=D37,OR(LEFT(L37,2)="15",AND(LEFT(M37,2)&lt;&gt;"15",LEFT(M37,2)&lt;&gt;"33"))),"x","")</f>
        <v/>
      </c>
      <c r="X37" s="50" t="str">
        <f>IF(AND(OR(LEFT(TH!L37,2)="15",LEFT(TH!M37,2)="15"),'152-CT'!$J$8=TH!F37),"x","")</f>
        <v/>
      </c>
      <c r="Y37" s="50" t="str">
        <f>IF(AND(OR(LEFT(TH!L37,2)="15",LEFT(TH!M37,2)="15"),TK!$E$7=TH!F37),"x","")</f>
        <v/>
      </c>
      <c r="Z37" s="50" t="str">
        <f>IF(AND(B37&lt;=NKC!$N$8,B37&gt;=NKC!$M$8),"x","")</f>
        <v>x</v>
      </c>
      <c r="AA37" s="845"/>
      <c r="AC37" s="201"/>
      <c r="AD37" s="201"/>
    </row>
    <row r="38" spans="1:30" s="581" customFormat="1" ht="15.75" customHeight="1">
      <c r="A38" s="846" t="str">
        <f>IF(B38&lt;&gt;"",IF(AND(B38&gt;=_TM1,B38&lt;=_TM2,OR(TH!L38="1111",TH!M38="1111")),TH!D38,""),"")</f>
        <v/>
      </c>
      <c r="B38" s="36">
        <f>IF(C38&lt;&gt;"",MONTH(C38),"")</f>
        <v>9</v>
      </c>
      <c r="C38" s="187">
        <f>E38</f>
        <v>41155</v>
      </c>
      <c r="D38" s="187" t="s">
        <v>744</v>
      </c>
      <c r="E38" s="180">
        <v>41155</v>
      </c>
      <c r="F38" s="185" t="s">
        <v>638</v>
      </c>
      <c r="G38" s="853" t="s">
        <v>639</v>
      </c>
      <c r="H38" s="7" t="s">
        <v>632</v>
      </c>
      <c r="I38" s="249">
        <v>500</v>
      </c>
      <c r="J38" s="249">
        <v>11622</v>
      </c>
      <c r="K38" s="37">
        <f>ROUND(I38*J38,0)</f>
        <v>5811000</v>
      </c>
      <c r="L38" s="190" t="s">
        <v>617</v>
      </c>
      <c r="M38" s="190" t="s">
        <v>8</v>
      </c>
      <c r="N38" s="50" t="str">
        <f>IF(AND('331-CT'!$E$7=TH!H38,OR(L38="331",M38="331")),"331",IF(AND(OR(L38="131",M38="131"),H38='131-CT'!$E$7),"131",""))</f>
        <v>331</v>
      </c>
      <c r="O38" s="50" t="str">
        <f>IF(AND($B38&gt;='111'!$N$11,$B38&lt;='111'!$O$11,OR($L38=$O$7,$M38=$O$7)),"x","")</f>
        <v/>
      </c>
      <c r="P38" s="50" t="str">
        <f>IF(AND($L38=$O$7,$B38&lt;'111'!$N$11),"x","")</f>
        <v/>
      </c>
      <c r="Q38" s="50" t="str">
        <f>IF(AND($M38=$O$7,$B38&lt;'111'!$N$11),"x","")</f>
        <v/>
      </c>
      <c r="R38" s="50" t="str">
        <f>IF(ISERROR(FIND('112'!$M$9,G38,1)),"",IF((AND(FIND('112'!$M$9,G38,1)&gt;=1,$B38&gt;='112'!$N$8,$B38&lt;='112'!$O$8,OR($L38='112'!$I$6,$M38='112'!$I$6))),"x",""))</f>
        <v/>
      </c>
      <c r="S38" s="50" t="str">
        <f>IF(ISERROR(FIND('112'!$M$9,G38,1)),"",IF((AND(LEFT(G38,2)=LEFT('112'!$M$9,2),B38&lt;'112'!$N$8,$L38='112'!$I$6)),"x",""))</f>
        <v/>
      </c>
      <c r="T38" s="50" t="str">
        <f>IF(ISERROR(FIND('112'!$M$9,G38,1)),"",IF((AND(RIGHT(G38,2)=RIGHT('112'!$M$9,2),B38&lt;'112'!$N$8,$M38='112'!$I$6)),"x",""))</f>
        <v/>
      </c>
      <c r="U38" s="50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0" t="str">
        <f>IF(OR(TH!L38=TH!$V$7,M38=TH!$V$7),"x","")</f>
        <v/>
      </c>
      <c r="W38" s="50" t="str">
        <f>IF(AND(B38&gt;='IN-NX'!$P$3,B38&lt;='IN-NX'!$Q$3,'IN-NX'!$D$7=D38,OR(LEFT(L38,2)="15",AND(LEFT(M38,2)&lt;&gt;"15",LEFT(M38,2)&lt;&gt;"33"))),"x","")</f>
        <v/>
      </c>
      <c r="X38" s="50" t="str">
        <f>IF(AND(OR(LEFT(TH!L38,2)="15",LEFT(TH!M38,2)="15"),'152-CT'!$J$8=TH!F38),"x","")</f>
        <v/>
      </c>
      <c r="Y38" s="50" t="str">
        <f>IF(AND(OR(LEFT(TH!L38,2)="15",LEFT(TH!M38,2)="15"),TK!$E$7=TH!F38),"x","")</f>
        <v/>
      </c>
      <c r="Z38" s="50" t="str">
        <f>IF(AND(B38&lt;=NKC!$N$8,B38&gt;=NKC!$M$8),"x","")</f>
        <v>x</v>
      </c>
      <c r="AA38" s="845"/>
      <c r="AC38" s="201"/>
      <c r="AD38" s="201"/>
    </row>
    <row r="39" spans="1:30" s="581" customFormat="1" ht="15.75" customHeight="1">
      <c r="A39" s="846" t="str">
        <f>IF(B39&lt;&gt;"",IF(AND(B39&gt;=_TM1,B39&lt;=_TM2,OR(TH!L39="1111",TH!M39="1111")),TH!D39,""),"")</f>
        <v/>
      </c>
      <c r="B39" s="36">
        <f>IF(C39&lt;&gt;"",MONTH(C39),"")</f>
        <v>9</v>
      </c>
      <c r="C39" s="187">
        <f>E39</f>
        <v>41155</v>
      </c>
      <c r="D39" s="187" t="s">
        <v>744</v>
      </c>
      <c r="E39" s="180">
        <v>41155</v>
      </c>
      <c r="F39" s="185" t="s">
        <v>634</v>
      </c>
      <c r="G39" s="853" t="s">
        <v>639</v>
      </c>
      <c r="H39" s="7" t="s">
        <v>632</v>
      </c>
      <c r="I39" s="249"/>
      <c r="J39" s="249"/>
      <c r="K39" s="37">
        <v>1095400</v>
      </c>
      <c r="L39" s="190" t="s">
        <v>9</v>
      </c>
      <c r="M39" s="190" t="s">
        <v>8</v>
      </c>
      <c r="N39" s="50" t="str">
        <f>IF(AND('331-CT'!$E$7=TH!H39,OR(L39="331",M39="331")),"331",IF(AND(OR(L39="131",M39="131"),H39='131-CT'!$E$7),"131",""))</f>
        <v>331</v>
      </c>
      <c r="O39" s="50" t="str">
        <f>IF(AND($B39&gt;='111'!$N$11,$B39&lt;='111'!$O$11,OR($L39=$O$7,$M39=$O$7)),"x","")</f>
        <v/>
      </c>
      <c r="P39" s="50" t="str">
        <f>IF(AND($L39=$O$7,$B39&lt;'111'!$N$11),"x","")</f>
        <v/>
      </c>
      <c r="Q39" s="50" t="str">
        <f>IF(AND($M39=$O$7,$B39&lt;'111'!$N$11),"x","")</f>
        <v/>
      </c>
      <c r="R39" s="50" t="str">
        <f>IF(ISERROR(FIND('112'!$M$9,G39,1)),"",IF((AND(FIND('112'!$M$9,G39,1)&gt;=1,$B39&gt;='112'!$N$8,$B39&lt;='112'!$O$8,OR($L39='112'!$I$6,$M39='112'!$I$6))),"x",""))</f>
        <v/>
      </c>
      <c r="S39" s="50" t="str">
        <f>IF(ISERROR(FIND('112'!$M$9,G39,1)),"",IF((AND(LEFT(G39,2)=LEFT('112'!$M$9,2),B39&lt;'112'!$N$8,$L39='112'!$I$6)),"x",""))</f>
        <v/>
      </c>
      <c r="T39" s="50" t="str">
        <f>IF(ISERROR(FIND('112'!$M$9,G39,1)),"",IF((AND(RIGHT(G39,2)=RIGHT('112'!$M$9,2),B39&lt;'112'!$N$8,$M39='112'!$I$6)),"x",""))</f>
        <v/>
      </c>
      <c r="U39" s="50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0" t="str">
        <f>IF(OR(TH!L39=TH!$V$7,M39=TH!$V$7),"x","")</f>
        <v/>
      </c>
      <c r="W39" s="50" t="str">
        <f>IF(AND(B39&gt;='IN-NX'!$P$3,B39&lt;='IN-NX'!$Q$3,'IN-NX'!$D$7=D39,OR(LEFT(L39,2)="15",AND(LEFT(M39,2)&lt;&gt;"15",LEFT(M39,2)&lt;&gt;"33"))),"x","")</f>
        <v/>
      </c>
      <c r="X39" s="50" t="str">
        <f>IF(AND(OR(LEFT(TH!L39,2)="15",LEFT(TH!M39,2)="15"),'152-CT'!$J$8=TH!F39),"x","")</f>
        <v/>
      </c>
      <c r="Y39" s="50" t="str">
        <f>IF(AND(OR(LEFT(TH!L39,2)="15",LEFT(TH!M39,2)="15"),TK!$E$7=TH!F39),"x","")</f>
        <v/>
      </c>
      <c r="Z39" s="50" t="str">
        <f>IF(AND(B39&lt;=NKC!$N$8,B39&gt;=NKC!$M$8),"x","")</f>
        <v>x</v>
      </c>
      <c r="AA39" s="845"/>
      <c r="AC39" s="201"/>
      <c r="AD39" s="201"/>
    </row>
    <row r="40" spans="1:30" s="581" customFormat="1" ht="15.75" customHeight="1">
      <c r="A40" s="846" t="str">
        <f>IF(B40&lt;&gt;"",IF(AND(B40&gt;=_TM1,B40&lt;=_TM2,OR(TH!L40="1111",TH!M40="1111")),TH!D40,""),"")</f>
        <v/>
      </c>
      <c r="B40" s="36">
        <f>IF(C40&lt;&gt;"",MONTH(C40),"")</f>
        <v>9</v>
      </c>
      <c r="C40" s="187">
        <f>E40</f>
        <v>41155</v>
      </c>
      <c r="D40" s="180" t="s">
        <v>735</v>
      </c>
      <c r="E40" s="180">
        <v>41155</v>
      </c>
      <c r="F40" s="185" t="s">
        <v>730</v>
      </c>
      <c r="G40" s="853" t="s">
        <v>639</v>
      </c>
      <c r="H40" s="7" t="s">
        <v>632</v>
      </c>
      <c r="I40" s="249"/>
      <c r="J40" s="249"/>
      <c r="K40" s="37">
        <v>12049400</v>
      </c>
      <c r="L40" s="190" t="s">
        <v>8</v>
      </c>
      <c r="M40" s="190" t="s">
        <v>47</v>
      </c>
      <c r="N40" s="50" t="str">
        <f>IF(AND('331-CT'!$E$7=TH!H40,OR(L40="331",M40="331")),"331",IF(AND(OR(L40="131",M40="131"),H40='131-CT'!$E$7),"131",""))</f>
        <v>331</v>
      </c>
      <c r="O40" s="50" t="str">
        <f>IF(AND($B40&gt;='111'!$N$11,$B40&lt;='111'!$O$11,OR($L40=$O$7,$M40=$O$7)),"x","")</f>
        <v/>
      </c>
      <c r="P40" s="50" t="str">
        <f>IF(AND($L40=$O$7,$B40&lt;'111'!$N$11),"x","")</f>
        <v/>
      </c>
      <c r="Q40" s="50" t="str">
        <f>IF(AND($M40=$O$7,$B40&lt;'111'!$N$11),"x","")</f>
        <v>x</v>
      </c>
      <c r="R40" s="50" t="str">
        <f>IF(ISERROR(FIND('112'!$M$9,G40,1)),"",IF((AND(FIND('112'!$M$9,G40,1)&gt;=1,$B40&gt;='112'!$N$8,$B40&lt;='112'!$O$8,OR($L40='112'!$I$6,$M40='112'!$I$6))),"x",""))</f>
        <v/>
      </c>
      <c r="S40" s="50" t="str">
        <f>IF(ISERROR(FIND('112'!$M$9,G40,1)),"",IF((AND(LEFT(G40,2)=LEFT('112'!$M$9,2),B40&lt;'112'!$N$8,$L40='112'!$I$6)),"x",""))</f>
        <v/>
      </c>
      <c r="T40" s="50" t="str">
        <f>IF(ISERROR(FIND('112'!$M$9,G40,1)),"",IF((AND(RIGHT(G40,2)=RIGHT('112'!$M$9,2),B40&lt;'112'!$N$8,$M40='112'!$I$6)),"x",""))</f>
        <v/>
      </c>
      <c r="U40" s="50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0" t="str">
        <f>IF(OR(TH!L40=TH!$V$7,M40=TH!$V$7),"x","")</f>
        <v/>
      </c>
      <c r="W40" s="50" t="str">
        <f>IF(AND(B40&gt;='IN-NX'!$P$3,B40&lt;='IN-NX'!$Q$3,'IN-NX'!$D$7=D40,OR(LEFT(L40,2)="15",AND(LEFT(M40,2)&lt;&gt;"15",LEFT(M40,2)&lt;&gt;"33"))),"x","")</f>
        <v/>
      </c>
      <c r="X40" s="50" t="str">
        <f>IF(AND(OR(LEFT(TH!L40,2)="15",LEFT(TH!M40,2)="15"),'152-CT'!$J$8=TH!F40),"x","")</f>
        <v/>
      </c>
      <c r="Y40" s="50" t="str">
        <f>IF(AND(OR(LEFT(TH!L40,2)="15",LEFT(TH!M40,2)="15"),TK!$E$7=TH!F40),"x","")</f>
        <v/>
      </c>
      <c r="Z40" s="50" t="str">
        <f>IF(AND(B40&lt;=NKC!$N$8,B40&gt;=NKC!$M$8),"x","")</f>
        <v>x</v>
      </c>
      <c r="AA40" s="845"/>
      <c r="AC40" s="201"/>
      <c r="AD40" s="201"/>
    </row>
    <row r="41" spans="1:30" s="581" customFormat="1" ht="15.75" customHeight="1">
      <c r="A41" s="846" t="str">
        <f>IF(B41&lt;&gt;"",IF(AND(B41&gt;=_TM1,B41&lt;=_TM2,OR(TH!L41="1111",TH!M41="1111")),TH!D41,""),"")</f>
        <v/>
      </c>
      <c r="B41" s="36">
        <f>IF(C41&lt;&gt;"",MONTH(C41),"")</f>
        <v>9</v>
      </c>
      <c r="C41" s="187">
        <f>E41</f>
        <v>41156</v>
      </c>
      <c r="D41" s="187" t="s">
        <v>745</v>
      </c>
      <c r="E41" s="180">
        <v>41156</v>
      </c>
      <c r="F41" s="185" t="s">
        <v>641</v>
      </c>
      <c r="G41" s="853" t="s">
        <v>640</v>
      </c>
      <c r="H41" s="7" t="s">
        <v>632</v>
      </c>
      <c r="I41" s="249">
        <v>550</v>
      </c>
      <c r="J41" s="249">
        <v>10298</v>
      </c>
      <c r="K41" s="37">
        <f>ROUND(I41*J41,0)</f>
        <v>5663900</v>
      </c>
      <c r="L41" s="190" t="s">
        <v>617</v>
      </c>
      <c r="M41" s="190" t="s">
        <v>8</v>
      </c>
      <c r="N41" s="50" t="str">
        <f>IF(AND('331-CT'!$E$7=TH!H41,OR(L41="331",M41="331")),"331",IF(AND(OR(L41="131",M41="131"),H41='131-CT'!$E$7),"131",""))</f>
        <v>331</v>
      </c>
      <c r="O41" s="50" t="str">
        <f>IF(AND($B41&gt;='111'!$N$11,$B41&lt;='111'!$O$11,OR($L41=$O$7,$M41=$O$7)),"x","")</f>
        <v/>
      </c>
      <c r="P41" s="50" t="str">
        <f>IF(AND($L41=$O$7,$B41&lt;'111'!$N$11),"x","")</f>
        <v/>
      </c>
      <c r="Q41" s="50" t="str">
        <f>IF(AND($M41=$O$7,$B41&lt;'111'!$N$11),"x","")</f>
        <v/>
      </c>
      <c r="R41" s="50" t="str">
        <f>IF(ISERROR(FIND('112'!$M$9,G41,1)),"",IF((AND(FIND('112'!$M$9,G41,1)&gt;=1,$B41&gt;='112'!$N$8,$B41&lt;='112'!$O$8,OR($L41='112'!$I$6,$M41='112'!$I$6))),"x",""))</f>
        <v/>
      </c>
      <c r="S41" s="50" t="str">
        <f>IF(ISERROR(FIND('112'!$M$9,G41,1)),"",IF((AND(LEFT(G41,2)=LEFT('112'!$M$9,2),B41&lt;'112'!$N$8,$L41='112'!$I$6)),"x",""))</f>
        <v/>
      </c>
      <c r="T41" s="50" t="str">
        <f>IF(ISERROR(FIND('112'!$M$9,G41,1)),"",IF((AND(RIGHT(G41,2)=RIGHT('112'!$M$9,2),B41&lt;'112'!$N$8,$M41='112'!$I$6)),"x",""))</f>
        <v/>
      </c>
      <c r="U41" s="50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0" t="str">
        <f>IF(OR(TH!L41=TH!$V$7,M41=TH!$V$7),"x","")</f>
        <v/>
      </c>
      <c r="W41" s="50" t="str">
        <f>IF(AND(B41&gt;='IN-NX'!$P$3,B41&lt;='IN-NX'!$Q$3,'IN-NX'!$D$7=D41,OR(LEFT(L41,2)="15",AND(LEFT(M41,2)&lt;&gt;"15",LEFT(M41,2)&lt;&gt;"33"))),"x","")</f>
        <v/>
      </c>
      <c r="X41" s="50" t="str">
        <f>IF(AND(OR(LEFT(TH!L41,2)="15",LEFT(TH!M41,2)="15"),'152-CT'!$J$8=TH!F41),"x","")</f>
        <v/>
      </c>
      <c r="Y41" s="50" t="str">
        <f>IF(AND(OR(LEFT(TH!L41,2)="15",LEFT(TH!M41,2)="15"),TK!$E$7=TH!F41),"x","")</f>
        <v/>
      </c>
      <c r="Z41" s="50" t="str">
        <f>IF(AND(B41&lt;=NKC!$N$8,B41&gt;=NKC!$M$8),"x","")</f>
        <v>x</v>
      </c>
      <c r="AA41" s="845"/>
      <c r="AC41" s="201"/>
      <c r="AD41" s="201"/>
    </row>
    <row r="42" spans="1:30" s="581" customFormat="1" ht="15.75" customHeight="1">
      <c r="A42" s="846" t="str">
        <f>IF(B42&lt;&gt;"",IF(AND(B42&gt;=_TM1,B42&lt;=_TM2,OR(TH!L42="1111",TH!M42="1111")),TH!D42,""),"")</f>
        <v/>
      </c>
      <c r="B42" s="36">
        <f>IF(C42&lt;&gt;"",MONTH(C42),"")</f>
        <v>9</v>
      </c>
      <c r="C42" s="187">
        <f>E42</f>
        <v>41156</v>
      </c>
      <c r="D42" s="187" t="s">
        <v>745</v>
      </c>
      <c r="E42" s="180">
        <v>41156</v>
      </c>
      <c r="F42" s="185" t="s">
        <v>642</v>
      </c>
      <c r="G42" s="853" t="s">
        <v>640</v>
      </c>
      <c r="H42" s="7" t="s">
        <v>632</v>
      </c>
      <c r="I42" s="249">
        <v>660</v>
      </c>
      <c r="J42" s="249">
        <v>12946</v>
      </c>
      <c r="K42" s="37">
        <f>ROUND(I42*J42,0)</f>
        <v>8544360</v>
      </c>
      <c r="L42" s="190" t="s">
        <v>617</v>
      </c>
      <c r="M42" s="190" t="s">
        <v>8</v>
      </c>
      <c r="N42" s="50" t="str">
        <f>IF(AND('331-CT'!$E$7=TH!H42,OR(L42="331",M42="331")),"331",IF(AND(OR(L42="131",M42="131"),H42='131-CT'!$E$7),"131",""))</f>
        <v>331</v>
      </c>
      <c r="O42" s="50" t="str">
        <f>IF(AND($B42&gt;='111'!$N$11,$B42&lt;='111'!$O$11,OR($L42=$O$7,$M42=$O$7)),"x","")</f>
        <v/>
      </c>
      <c r="P42" s="50" t="str">
        <f>IF(AND($L42=$O$7,$B42&lt;'111'!$N$11),"x","")</f>
        <v/>
      </c>
      <c r="Q42" s="50" t="str">
        <f>IF(AND($M42=$O$7,$B42&lt;'111'!$N$11),"x","")</f>
        <v/>
      </c>
      <c r="R42" s="50" t="str">
        <f>IF(ISERROR(FIND('112'!$M$9,G42,1)),"",IF((AND(FIND('112'!$M$9,G42,1)&gt;=1,$B42&gt;='112'!$N$8,$B42&lt;='112'!$O$8,OR($L42='112'!$I$6,$M42='112'!$I$6))),"x",""))</f>
        <v/>
      </c>
      <c r="S42" s="50" t="str">
        <f>IF(ISERROR(FIND('112'!$M$9,G42,1)),"",IF((AND(LEFT(G42,2)=LEFT('112'!$M$9,2),B42&lt;'112'!$N$8,$L42='112'!$I$6)),"x",""))</f>
        <v/>
      </c>
      <c r="T42" s="50" t="str">
        <f>IF(ISERROR(FIND('112'!$M$9,G42,1)),"",IF((AND(RIGHT(G42,2)=RIGHT('112'!$M$9,2),B42&lt;'112'!$N$8,$M42='112'!$I$6)),"x",""))</f>
        <v/>
      </c>
      <c r="U42" s="50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0" t="str">
        <f>IF(OR(TH!L42=TH!$V$7,M42=TH!$V$7),"x","")</f>
        <v/>
      </c>
      <c r="W42" s="50" t="str">
        <f>IF(AND(B42&gt;='IN-NX'!$P$3,B42&lt;='IN-NX'!$Q$3,'IN-NX'!$D$7=D42,OR(LEFT(L42,2)="15",AND(LEFT(M42,2)&lt;&gt;"15",LEFT(M42,2)&lt;&gt;"33"))),"x","")</f>
        <v/>
      </c>
      <c r="X42" s="50" t="str">
        <f>IF(AND(OR(LEFT(TH!L42,2)="15",LEFT(TH!M42,2)="15"),'152-CT'!$J$8=TH!F42),"x","")</f>
        <v/>
      </c>
      <c r="Y42" s="50" t="str">
        <f>IF(AND(OR(LEFT(TH!L42,2)="15",LEFT(TH!M42,2)="15"),TK!$E$7=TH!F42),"x","")</f>
        <v/>
      </c>
      <c r="Z42" s="50" t="str">
        <f>IF(AND(B42&lt;=NKC!$N$8,B42&gt;=NKC!$M$8),"x","")</f>
        <v>x</v>
      </c>
      <c r="AA42" s="845"/>
      <c r="AC42" s="201"/>
      <c r="AD42" s="201"/>
    </row>
    <row r="43" spans="1:30" s="581" customFormat="1" ht="15.75" customHeight="1">
      <c r="A43" s="846" t="str">
        <f>IF(B43&lt;&gt;"",IF(AND(B43&gt;=_TM1,B43&lt;=_TM2,OR(TH!L43="1111",TH!M43="1111")),TH!D43,""),"")</f>
        <v/>
      </c>
      <c r="B43" s="36">
        <f>IF(C43&lt;&gt;"",MONTH(C43),"")</f>
        <v>9</v>
      </c>
      <c r="C43" s="187">
        <f>E43</f>
        <v>41156</v>
      </c>
      <c r="D43" s="187" t="s">
        <v>745</v>
      </c>
      <c r="E43" s="180">
        <v>41156</v>
      </c>
      <c r="F43" s="185" t="s">
        <v>634</v>
      </c>
      <c r="G43" s="853" t="s">
        <v>640</v>
      </c>
      <c r="H43" s="7" t="s">
        <v>632</v>
      </c>
      <c r="I43" s="249"/>
      <c r="J43" s="249"/>
      <c r="K43" s="37">
        <v>1420826</v>
      </c>
      <c r="L43" s="190" t="s">
        <v>9</v>
      </c>
      <c r="M43" s="190" t="s">
        <v>8</v>
      </c>
      <c r="N43" s="50" t="str">
        <f>IF(AND('331-CT'!$E$7=TH!H43,OR(L43="331",M43="331")),"331",IF(AND(OR(L43="131",M43="131"),H43='131-CT'!$E$7),"131",""))</f>
        <v>331</v>
      </c>
      <c r="O43" s="50" t="str">
        <f>IF(AND($B43&gt;='111'!$N$11,$B43&lt;='111'!$O$11,OR($L43=$O$7,$M43=$O$7)),"x","")</f>
        <v/>
      </c>
      <c r="P43" s="50" t="str">
        <f>IF(AND($L43=$O$7,$B43&lt;'111'!$N$11),"x","")</f>
        <v/>
      </c>
      <c r="Q43" s="50" t="str">
        <f>IF(AND($M43=$O$7,$B43&lt;'111'!$N$11),"x","")</f>
        <v/>
      </c>
      <c r="R43" s="50" t="str">
        <f>IF(ISERROR(FIND('112'!$M$9,G43,1)),"",IF((AND(FIND('112'!$M$9,G43,1)&gt;=1,$B43&gt;='112'!$N$8,$B43&lt;='112'!$O$8,OR($L43='112'!$I$6,$M43='112'!$I$6))),"x",""))</f>
        <v/>
      </c>
      <c r="S43" s="50" t="str">
        <f>IF(ISERROR(FIND('112'!$M$9,G43,1)),"",IF((AND(LEFT(G43,2)=LEFT('112'!$M$9,2),B43&lt;'112'!$N$8,$L43='112'!$I$6)),"x",""))</f>
        <v/>
      </c>
      <c r="T43" s="50" t="str">
        <f>IF(ISERROR(FIND('112'!$M$9,G43,1)),"",IF((AND(RIGHT(G43,2)=RIGHT('112'!$M$9,2),B43&lt;'112'!$N$8,$M43='112'!$I$6)),"x",""))</f>
        <v/>
      </c>
      <c r="U43" s="50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0" t="str">
        <f>IF(OR(TH!L43=TH!$V$7,M43=TH!$V$7),"x","")</f>
        <v/>
      </c>
      <c r="W43" s="50" t="str">
        <f>IF(AND(B43&gt;='IN-NX'!$P$3,B43&lt;='IN-NX'!$Q$3,'IN-NX'!$D$7=D43,OR(LEFT(L43,2)="15",AND(LEFT(M43,2)&lt;&gt;"15",LEFT(M43,2)&lt;&gt;"33"))),"x","")</f>
        <v/>
      </c>
      <c r="X43" s="50" t="str">
        <f>IF(AND(OR(LEFT(TH!L43,2)="15",LEFT(TH!M43,2)="15"),'152-CT'!$J$8=TH!F43),"x","")</f>
        <v/>
      </c>
      <c r="Y43" s="50" t="str">
        <f>IF(AND(OR(LEFT(TH!L43,2)="15",LEFT(TH!M43,2)="15"),TK!$E$7=TH!F43),"x","")</f>
        <v/>
      </c>
      <c r="Z43" s="50" t="str">
        <f>IF(AND(B43&lt;=NKC!$N$8,B43&gt;=NKC!$M$8),"x","")</f>
        <v>x</v>
      </c>
      <c r="AA43" s="845"/>
      <c r="AC43" s="201"/>
      <c r="AD43" s="201"/>
    </row>
    <row r="44" spans="1:30" s="581" customFormat="1" ht="15.75" customHeight="1">
      <c r="A44" s="846" t="str">
        <f>IF(B44&lt;&gt;"",IF(AND(B44&gt;=_TM1,B44&lt;=_TM2,OR(TH!L44="1111",TH!M44="1111")),TH!D44,""),"")</f>
        <v/>
      </c>
      <c r="B44" s="36">
        <f>IF(C44&lt;&gt;"",MONTH(C44),"")</f>
        <v>9</v>
      </c>
      <c r="C44" s="187">
        <f>E44</f>
        <v>41156</v>
      </c>
      <c r="D44" s="180" t="s">
        <v>736</v>
      </c>
      <c r="E44" s="180">
        <v>41156</v>
      </c>
      <c r="F44" s="185" t="s">
        <v>730</v>
      </c>
      <c r="G44" s="853" t="s">
        <v>640</v>
      </c>
      <c r="H44" s="7" t="s">
        <v>632</v>
      </c>
      <c r="I44" s="249"/>
      <c r="J44" s="249"/>
      <c r="K44" s="37">
        <v>15629086</v>
      </c>
      <c r="L44" s="190" t="s">
        <v>8</v>
      </c>
      <c r="M44" s="190" t="s">
        <v>47</v>
      </c>
      <c r="N44" s="50" t="str">
        <f>IF(AND('331-CT'!$E$7=TH!H44,OR(L44="331",M44="331")),"331",IF(AND(OR(L44="131",M44="131"),H44='131-CT'!$E$7),"131",""))</f>
        <v>331</v>
      </c>
      <c r="O44" s="50" t="str">
        <f>IF(AND($B44&gt;='111'!$N$11,$B44&lt;='111'!$O$11,OR($L44=$O$7,$M44=$O$7)),"x","")</f>
        <v/>
      </c>
      <c r="P44" s="50" t="str">
        <f>IF(AND($L44=$O$7,$B44&lt;'111'!$N$11),"x","")</f>
        <v/>
      </c>
      <c r="Q44" s="50" t="str">
        <f>IF(AND($M44=$O$7,$B44&lt;'111'!$N$11),"x","")</f>
        <v>x</v>
      </c>
      <c r="R44" s="50" t="str">
        <f>IF(ISERROR(FIND('112'!$M$9,G44,1)),"",IF((AND(FIND('112'!$M$9,G44,1)&gt;=1,$B44&gt;='112'!$N$8,$B44&lt;='112'!$O$8,OR($L44='112'!$I$6,$M44='112'!$I$6))),"x",""))</f>
        <v/>
      </c>
      <c r="S44" s="50" t="str">
        <f>IF(ISERROR(FIND('112'!$M$9,G44,1)),"",IF((AND(LEFT(G44,2)=LEFT('112'!$M$9,2),B44&lt;'112'!$N$8,$L44='112'!$I$6)),"x",""))</f>
        <v/>
      </c>
      <c r="T44" s="50" t="str">
        <f>IF(ISERROR(FIND('112'!$M$9,G44,1)),"",IF((AND(RIGHT(G44,2)=RIGHT('112'!$M$9,2),B44&lt;'112'!$N$8,$M44='112'!$I$6)),"x",""))</f>
        <v/>
      </c>
      <c r="U44" s="50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0" t="str">
        <f>IF(OR(TH!L44=TH!$V$7,M44=TH!$V$7),"x","")</f>
        <v/>
      </c>
      <c r="W44" s="50" t="str">
        <f>IF(AND(B44&gt;='IN-NX'!$P$3,B44&lt;='IN-NX'!$Q$3,'IN-NX'!$D$7=D44,OR(LEFT(L44,2)="15",AND(LEFT(M44,2)&lt;&gt;"15",LEFT(M44,2)&lt;&gt;"33"))),"x","")</f>
        <v/>
      </c>
      <c r="X44" s="50" t="str">
        <f>IF(AND(OR(LEFT(TH!L44,2)="15",LEFT(TH!M44,2)="15"),'152-CT'!$J$8=TH!F44),"x","")</f>
        <v/>
      </c>
      <c r="Y44" s="50" t="str">
        <f>IF(AND(OR(LEFT(TH!L44,2)="15",LEFT(TH!M44,2)="15"),TK!$E$7=TH!F44),"x","")</f>
        <v/>
      </c>
      <c r="Z44" s="50" t="str">
        <f>IF(AND(B44&lt;=NKC!$N$8,B44&gt;=NKC!$M$8),"x","")</f>
        <v>x</v>
      </c>
      <c r="AA44" s="845"/>
      <c r="AC44" s="201"/>
      <c r="AD44" s="201"/>
    </row>
    <row r="45" spans="1:30" s="581" customFormat="1" ht="15.75" customHeight="1">
      <c r="A45" s="846" t="str">
        <f>IF(B45&lt;&gt;"",IF(AND(B45&gt;=_TM1,B45&lt;=_TM2,OR(TH!L45="1111",TH!M45="1111")),TH!D45,""),"")</f>
        <v/>
      </c>
      <c r="B45" s="36">
        <f>IF(C45&lt;&gt;"",MONTH(C45),"")</f>
        <v>9</v>
      </c>
      <c r="C45" s="187">
        <f>E45</f>
        <v>41160</v>
      </c>
      <c r="D45" s="187" t="s">
        <v>746</v>
      </c>
      <c r="E45" s="180">
        <v>41160</v>
      </c>
      <c r="F45" s="185" t="s">
        <v>642</v>
      </c>
      <c r="G45" s="853" t="s">
        <v>643</v>
      </c>
      <c r="H45" s="7" t="s">
        <v>632</v>
      </c>
      <c r="I45" s="249">
        <v>600</v>
      </c>
      <c r="J45" s="249">
        <v>8556</v>
      </c>
      <c r="K45" s="37">
        <f>ROUND(I45*J45,0)</f>
        <v>5133600</v>
      </c>
      <c r="L45" s="190" t="s">
        <v>617</v>
      </c>
      <c r="M45" s="190" t="s">
        <v>8</v>
      </c>
      <c r="N45" s="50" t="str">
        <f>IF(AND('331-CT'!$E$7=TH!H45,OR(L45="331",M45="331")),"331",IF(AND(OR(L45="131",M45="131"),H45='131-CT'!$E$7),"131",""))</f>
        <v>331</v>
      </c>
      <c r="O45" s="50" t="str">
        <f>IF(AND($B45&gt;='111'!$N$11,$B45&lt;='111'!$O$11,OR($L45=$O$7,$M45=$O$7)),"x","")</f>
        <v/>
      </c>
      <c r="P45" s="50" t="str">
        <f>IF(AND($L45=$O$7,$B45&lt;'111'!$N$11),"x","")</f>
        <v/>
      </c>
      <c r="Q45" s="50" t="str">
        <f>IF(AND($M45=$O$7,$B45&lt;'111'!$N$11),"x","")</f>
        <v/>
      </c>
      <c r="R45" s="50" t="str">
        <f>IF(ISERROR(FIND('112'!$M$9,G45,1)),"",IF((AND(FIND('112'!$M$9,G45,1)&gt;=1,$B45&gt;='112'!$N$8,$B45&lt;='112'!$O$8,OR($L45='112'!$I$6,$M45='112'!$I$6))),"x",""))</f>
        <v/>
      </c>
      <c r="S45" s="50" t="str">
        <f>IF(ISERROR(FIND('112'!$M$9,G45,1)),"",IF((AND(LEFT(G45,2)=LEFT('112'!$M$9,2),B45&lt;'112'!$N$8,$L45='112'!$I$6)),"x",""))</f>
        <v/>
      </c>
      <c r="T45" s="50" t="str">
        <f>IF(ISERROR(FIND('112'!$M$9,G45,1)),"",IF((AND(RIGHT(G45,2)=RIGHT('112'!$M$9,2),B45&lt;'112'!$N$8,$M45='112'!$I$6)),"x",""))</f>
        <v/>
      </c>
      <c r="U45" s="50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0" t="str">
        <f>IF(OR(TH!L45=TH!$V$7,M45=TH!$V$7),"x","")</f>
        <v/>
      </c>
      <c r="W45" s="50" t="str">
        <f>IF(AND(B45&gt;='IN-NX'!$P$3,B45&lt;='IN-NX'!$Q$3,'IN-NX'!$D$7=D45,OR(LEFT(L45,2)="15",AND(LEFT(M45,2)&lt;&gt;"15",LEFT(M45,2)&lt;&gt;"33"))),"x","")</f>
        <v/>
      </c>
      <c r="X45" s="50" t="str">
        <f>IF(AND(OR(LEFT(TH!L45,2)="15",LEFT(TH!M45,2)="15"),'152-CT'!$J$8=TH!F45),"x","")</f>
        <v/>
      </c>
      <c r="Y45" s="50" t="str">
        <f>IF(AND(OR(LEFT(TH!L45,2)="15",LEFT(TH!M45,2)="15"),TK!$E$7=TH!F45),"x","")</f>
        <v/>
      </c>
      <c r="Z45" s="50" t="str">
        <f>IF(AND(B45&lt;=NKC!$N$8,B45&gt;=NKC!$M$8),"x","")</f>
        <v>x</v>
      </c>
      <c r="AA45" s="845"/>
      <c r="AC45" s="201"/>
      <c r="AD45" s="201"/>
    </row>
    <row r="46" spans="1:30" s="581" customFormat="1" ht="15.75" customHeight="1">
      <c r="A46" s="846" t="str">
        <f>IF(B46&lt;&gt;"",IF(AND(B46&gt;=_TM1,B46&lt;=_TM2,OR(TH!L46="1111",TH!M46="1111")),TH!D46,""),"")</f>
        <v/>
      </c>
      <c r="B46" s="36">
        <f>IF(C46&lt;&gt;"",MONTH(C46),"")</f>
        <v>9</v>
      </c>
      <c r="C46" s="187">
        <f>E46</f>
        <v>41160</v>
      </c>
      <c r="D46" s="187" t="s">
        <v>746</v>
      </c>
      <c r="E46" s="180">
        <v>41160</v>
      </c>
      <c r="F46" s="185" t="s">
        <v>634</v>
      </c>
      <c r="G46" s="853" t="s">
        <v>643</v>
      </c>
      <c r="H46" s="7" t="s">
        <v>632</v>
      </c>
      <c r="I46" s="249"/>
      <c r="J46" s="249"/>
      <c r="K46" s="37">
        <v>513360</v>
      </c>
      <c r="L46" s="190" t="s">
        <v>9</v>
      </c>
      <c r="M46" s="190" t="s">
        <v>8</v>
      </c>
      <c r="N46" s="50" t="str">
        <f>IF(AND('331-CT'!$E$7=TH!H46,OR(L46="331",M46="331")),"331",IF(AND(OR(L46="131",M46="131"),H46='131-CT'!$E$7),"131",""))</f>
        <v>331</v>
      </c>
      <c r="O46" s="50" t="str">
        <f>IF(AND($B46&gt;='111'!$N$11,$B46&lt;='111'!$O$11,OR($L46=$O$7,$M46=$O$7)),"x","")</f>
        <v/>
      </c>
      <c r="P46" s="50" t="str">
        <f>IF(AND($L46=$O$7,$B46&lt;'111'!$N$11),"x","")</f>
        <v/>
      </c>
      <c r="Q46" s="50" t="str">
        <f>IF(AND($M46=$O$7,$B46&lt;'111'!$N$11),"x","")</f>
        <v/>
      </c>
      <c r="R46" s="50" t="str">
        <f>IF(ISERROR(FIND('112'!$M$9,G46,1)),"",IF((AND(FIND('112'!$M$9,G46,1)&gt;=1,$B46&gt;='112'!$N$8,$B46&lt;='112'!$O$8,OR($L46='112'!$I$6,$M46='112'!$I$6))),"x",""))</f>
        <v/>
      </c>
      <c r="S46" s="50" t="str">
        <f>IF(ISERROR(FIND('112'!$M$9,G46,1)),"",IF((AND(LEFT(G46,2)=LEFT('112'!$M$9,2),B46&lt;'112'!$N$8,$L46='112'!$I$6)),"x",""))</f>
        <v/>
      </c>
      <c r="T46" s="50" t="str">
        <f>IF(ISERROR(FIND('112'!$M$9,G46,1)),"",IF((AND(RIGHT(G46,2)=RIGHT('112'!$M$9,2),B46&lt;'112'!$N$8,$M46='112'!$I$6)),"x",""))</f>
        <v/>
      </c>
      <c r="U46" s="50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0" t="str">
        <f>IF(OR(TH!L46=TH!$V$7,M46=TH!$V$7),"x","")</f>
        <v/>
      </c>
      <c r="W46" s="50" t="str">
        <f>IF(AND(B46&gt;='IN-NX'!$P$3,B46&lt;='IN-NX'!$Q$3,'IN-NX'!$D$7=D46,OR(LEFT(L46,2)="15",AND(LEFT(M46,2)&lt;&gt;"15",LEFT(M46,2)&lt;&gt;"33"))),"x","")</f>
        <v/>
      </c>
      <c r="X46" s="50" t="str">
        <f>IF(AND(OR(LEFT(TH!L46,2)="15",LEFT(TH!M46,2)="15"),'152-CT'!$J$8=TH!F46),"x","")</f>
        <v/>
      </c>
      <c r="Y46" s="50" t="str">
        <f>IF(AND(OR(LEFT(TH!L46,2)="15",LEFT(TH!M46,2)="15"),TK!$E$7=TH!F46),"x","")</f>
        <v/>
      </c>
      <c r="Z46" s="50" t="str">
        <f>IF(AND(B46&lt;=NKC!$N$8,B46&gt;=NKC!$M$8),"x","")</f>
        <v>x</v>
      </c>
      <c r="AA46" s="845"/>
      <c r="AC46" s="201"/>
      <c r="AD46" s="201"/>
    </row>
    <row r="47" spans="1:30" s="581" customFormat="1" ht="15.75" customHeight="1">
      <c r="A47" s="846" t="str">
        <f>IF(B47&lt;&gt;"",IF(AND(B47&gt;=_TM1,B47&lt;=_TM2,OR(TH!L47="1111",TH!M47="1111")),TH!D47,""),"")</f>
        <v/>
      </c>
      <c r="B47" s="36">
        <f>IF(C47&lt;&gt;"",MONTH(C47),"")</f>
        <v>9</v>
      </c>
      <c r="C47" s="187">
        <f>E47</f>
        <v>41160</v>
      </c>
      <c r="D47" s="180" t="s">
        <v>737</v>
      </c>
      <c r="E47" s="180">
        <v>41160</v>
      </c>
      <c r="F47" s="185" t="s">
        <v>730</v>
      </c>
      <c r="G47" s="853" t="s">
        <v>643</v>
      </c>
      <c r="H47" s="7" t="s">
        <v>632</v>
      </c>
      <c r="I47" s="249"/>
      <c r="J47" s="249"/>
      <c r="K47" s="37">
        <v>5646960</v>
      </c>
      <c r="L47" s="190" t="s">
        <v>8</v>
      </c>
      <c r="M47" s="190" t="s">
        <v>47</v>
      </c>
      <c r="N47" s="50" t="str">
        <f>IF(AND('331-CT'!$E$7=TH!H47,OR(L47="331",M47="331")),"331",IF(AND(OR(L47="131",M47="131"),H47='131-CT'!$E$7),"131",""))</f>
        <v>331</v>
      </c>
      <c r="O47" s="50" t="str">
        <f>IF(AND($B47&gt;='111'!$N$11,$B47&lt;='111'!$O$11,OR($L47=$O$7,$M47=$O$7)),"x","")</f>
        <v/>
      </c>
      <c r="P47" s="50" t="str">
        <f>IF(AND($L47=$O$7,$B47&lt;'111'!$N$11),"x","")</f>
        <v/>
      </c>
      <c r="Q47" s="50" t="str">
        <f>IF(AND($M47=$O$7,$B47&lt;'111'!$N$11),"x","")</f>
        <v>x</v>
      </c>
      <c r="R47" s="50" t="str">
        <f>IF(ISERROR(FIND('112'!$M$9,G47,1)),"",IF((AND(FIND('112'!$M$9,G47,1)&gt;=1,$B47&gt;='112'!$N$8,$B47&lt;='112'!$O$8,OR($L47='112'!$I$6,$M47='112'!$I$6))),"x",""))</f>
        <v/>
      </c>
      <c r="S47" s="50" t="str">
        <f>IF(ISERROR(FIND('112'!$M$9,G47,1)),"",IF((AND(LEFT(G47,2)=LEFT('112'!$M$9,2),B47&lt;'112'!$N$8,$L47='112'!$I$6)),"x",""))</f>
        <v/>
      </c>
      <c r="T47" s="50" t="str">
        <f>IF(ISERROR(FIND('112'!$M$9,G47,1)),"",IF((AND(RIGHT(G47,2)=RIGHT('112'!$M$9,2),B47&lt;'112'!$N$8,$M47='112'!$I$6)),"x",""))</f>
        <v/>
      </c>
      <c r="U47" s="50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0" t="str">
        <f>IF(OR(TH!L47=TH!$V$7,M47=TH!$V$7),"x","")</f>
        <v/>
      </c>
      <c r="W47" s="50" t="str">
        <f>IF(AND(B47&gt;='IN-NX'!$P$3,B47&lt;='IN-NX'!$Q$3,'IN-NX'!$D$7=D47,OR(LEFT(L47,2)="15",AND(LEFT(M47,2)&lt;&gt;"15",LEFT(M47,2)&lt;&gt;"33"))),"x","")</f>
        <v/>
      </c>
      <c r="X47" s="50" t="str">
        <f>IF(AND(OR(LEFT(TH!L47,2)="15",LEFT(TH!M47,2)="15"),'152-CT'!$J$8=TH!F47),"x","")</f>
        <v/>
      </c>
      <c r="Y47" s="50" t="str">
        <f>IF(AND(OR(LEFT(TH!L47,2)="15",LEFT(TH!M47,2)="15"),TK!$E$7=TH!F47),"x","")</f>
        <v/>
      </c>
      <c r="Z47" s="50" t="str">
        <f>IF(AND(B47&lt;=NKC!$N$8,B47&gt;=NKC!$M$8),"x","")</f>
        <v>x</v>
      </c>
      <c r="AA47" s="845"/>
      <c r="AC47" s="201"/>
      <c r="AD47" s="201"/>
    </row>
    <row r="48" spans="1:30" s="581" customFormat="1" ht="15.75" customHeight="1">
      <c r="A48" s="846" t="str">
        <f>IF(B48&lt;&gt;"",IF(AND(B48&gt;=_TM1,B48&lt;=_TM2,OR(TH!L48="1111",TH!M48="1111")),TH!D48,""),"")</f>
        <v/>
      </c>
      <c r="B48" s="36">
        <f>IF(C48&lt;&gt;"",MONTH(C48),"")</f>
        <v>9</v>
      </c>
      <c r="C48" s="187">
        <f>E48</f>
        <v>41165</v>
      </c>
      <c r="D48" s="180" t="s">
        <v>738</v>
      </c>
      <c r="E48" s="180">
        <v>41165</v>
      </c>
      <c r="F48" s="188" t="s">
        <v>623</v>
      </c>
      <c r="G48" s="853" t="s">
        <v>627</v>
      </c>
      <c r="H48" s="200" t="s">
        <v>625</v>
      </c>
      <c r="I48" s="249"/>
      <c r="J48" s="249"/>
      <c r="K48" s="37">
        <f>109679+263493</f>
        <v>373172</v>
      </c>
      <c r="L48" s="190" t="s">
        <v>83</v>
      </c>
      <c r="M48" s="190" t="s">
        <v>47</v>
      </c>
      <c r="N48" s="50" t="str">
        <f>IF(AND('331-CT'!$E$7=TH!H48,OR(L48="331",M48="331")),"331",IF(AND(OR(L48="131",M48="131"),H48='131-CT'!$E$7),"131",""))</f>
        <v/>
      </c>
      <c r="O48" s="50" t="str">
        <f>IF(AND($B48&gt;='111'!$N$11,$B48&lt;='111'!$O$11,OR($L48=$O$7,$M48=$O$7)),"x","")</f>
        <v/>
      </c>
      <c r="P48" s="50" t="str">
        <f>IF(AND($L48=$O$7,$B48&lt;'111'!$N$11),"x","")</f>
        <v/>
      </c>
      <c r="Q48" s="50" t="str">
        <f>IF(AND($M48=$O$7,$B48&lt;'111'!$N$11),"x","")</f>
        <v>x</v>
      </c>
      <c r="R48" s="50" t="str">
        <f>IF(ISERROR(FIND('112'!$M$9,G48,1)),"",IF((AND(FIND('112'!$M$9,G48,1)&gt;=1,$B48&gt;='112'!$N$8,$B48&lt;='112'!$O$8,OR($L48='112'!$I$6,$M48='112'!$I$6))),"x",""))</f>
        <v/>
      </c>
      <c r="S48" s="50" t="str">
        <f>IF(ISERROR(FIND('112'!$M$9,G48,1)),"",IF((AND(LEFT(G48,2)=LEFT('112'!$M$9,2),B48&lt;'112'!$N$8,$L48='112'!$I$6)),"x",""))</f>
        <v/>
      </c>
      <c r="T48" s="50" t="str">
        <f>IF(ISERROR(FIND('112'!$M$9,G48,1)),"",IF((AND(RIGHT(G48,2)=RIGHT('112'!$M$9,2),B48&lt;'112'!$N$8,$M48='112'!$I$6)),"x",""))</f>
        <v/>
      </c>
      <c r="U48" s="50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0" t="str">
        <f>IF(OR(TH!L48=TH!$V$7,M48=TH!$V$7),"x","")</f>
        <v>x</v>
      </c>
      <c r="W48" s="50" t="str">
        <f>IF(AND(B48&gt;='IN-NX'!$P$3,B48&lt;='IN-NX'!$Q$3,'IN-NX'!$D$7=D48,OR(LEFT(L48,2)="15",AND(LEFT(M48,2)&lt;&gt;"15",LEFT(M48,2)&lt;&gt;"33"))),"x","")</f>
        <v/>
      </c>
      <c r="X48" s="50" t="str">
        <f>IF(AND(OR(LEFT(TH!L48,2)="15",LEFT(TH!M48,2)="15"),'152-CT'!$J$8=TH!F48),"x","")</f>
        <v/>
      </c>
      <c r="Y48" s="50" t="str">
        <f>IF(AND(OR(LEFT(TH!L48,2)="15",LEFT(TH!M48,2)="15"),TK!$E$7=TH!F48),"x","")</f>
        <v/>
      </c>
      <c r="Z48" s="50" t="str">
        <f>IF(AND(B48&lt;=NKC!$N$8,B48&gt;=NKC!$M$8),"x","")</f>
        <v>x</v>
      </c>
      <c r="AA48" s="845"/>
      <c r="AC48" s="201"/>
      <c r="AD48" s="201"/>
    </row>
    <row r="49" spans="1:30" s="201" customFormat="1" ht="15.75" customHeight="1">
      <c r="A49" s="846" t="str">
        <f>IF(B49&lt;&gt;"",IF(AND(B49&gt;=_TM1,B49&lt;=_TM2,OR(TH!L49="1111",TH!M49="1111")),TH!D49,""),"")</f>
        <v/>
      </c>
      <c r="B49" s="36">
        <f>IF(C49&lt;&gt;"",MONTH(C49),"")</f>
        <v>9</v>
      </c>
      <c r="C49" s="187">
        <f>E49</f>
        <v>41165</v>
      </c>
      <c r="D49" s="180" t="s">
        <v>738</v>
      </c>
      <c r="E49" s="180">
        <v>41165</v>
      </c>
      <c r="F49" s="188" t="s">
        <v>624</v>
      </c>
      <c r="G49" s="853" t="s">
        <v>627</v>
      </c>
      <c r="H49" s="200" t="s">
        <v>625</v>
      </c>
      <c r="I49" s="249"/>
      <c r="J49" s="249"/>
      <c r="K49" s="37">
        <f>10968+26349</f>
        <v>37317</v>
      </c>
      <c r="L49" s="190" t="s">
        <v>9</v>
      </c>
      <c r="M49" s="190" t="s">
        <v>47</v>
      </c>
      <c r="N49" s="50" t="str">
        <f>IF(AND('331-CT'!$E$7=TH!H49,OR(L49="331",M49="331")),"331",IF(AND(OR(L49="131",M49="131"),H49='131-CT'!$E$7),"131",""))</f>
        <v/>
      </c>
      <c r="O49" s="50" t="str">
        <f>IF(AND($B49&gt;='111'!$N$11,$B49&lt;='111'!$O$11,OR($L49=$O$7,$M49=$O$7)),"x","")</f>
        <v/>
      </c>
      <c r="P49" s="50" t="str">
        <f>IF(AND($L49=$O$7,$B49&lt;'111'!$N$11),"x","")</f>
        <v/>
      </c>
      <c r="Q49" s="50" t="str">
        <f>IF(AND($M49=$O$7,$B49&lt;'111'!$N$11),"x","")</f>
        <v>x</v>
      </c>
      <c r="R49" s="50" t="str">
        <f>IF(ISERROR(FIND('112'!$M$9,G49,1)),"",IF((AND(FIND('112'!$M$9,G49,1)&gt;=1,$B49&gt;='112'!$N$8,$B49&lt;='112'!$O$8,OR($L49='112'!$I$6,$M49='112'!$I$6))),"x",""))</f>
        <v/>
      </c>
      <c r="S49" s="50" t="str">
        <f>IF(ISERROR(FIND('112'!$M$9,G49,1)),"",IF((AND(LEFT(G49,2)=LEFT('112'!$M$9,2),B49&lt;'112'!$N$8,$L49='112'!$I$6)),"x",""))</f>
        <v/>
      </c>
      <c r="T49" s="50" t="str">
        <f>IF(ISERROR(FIND('112'!$M$9,G49,1)),"",IF((AND(RIGHT(G49,2)=RIGHT('112'!$M$9,2),B49&lt;'112'!$N$8,$M49='112'!$I$6)),"x",""))</f>
        <v/>
      </c>
      <c r="U49" s="50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0" t="str">
        <f>IF(OR(TH!L49=TH!$V$7,M49=TH!$V$7),"x","")</f>
        <v/>
      </c>
      <c r="W49" s="50" t="str">
        <f>IF(AND(B49&gt;='IN-NX'!$P$3,B49&lt;='IN-NX'!$Q$3,'IN-NX'!$D$7=D49,OR(LEFT(L49,2)="15",AND(LEFT(M49,2)&lt;&gt;"15",LEFT(M49,2)&lt;&gt;"33"))),"x","")</f>
        <v/>
      </c>
      <c r="X49" s="50" t="str">
        <f>IF(AND(OR(LEFT(TH!L49,2)="15",LEFT(TH!M49,2)="15"),'152-CT'!$J$8=TH!F49),"x","")</f>
        <v/>
      </c>
      <c r="Y49" s="50" t="str">
        <f>IF(AND(OR(LEFT(TH!L49,2)="15",LEFT(TH!M49,2)="15"),TK!$E$7=TH!F49),"x","")</f>
        <v/>
      </c>
      <c r="Z49" s="50" t="str">
        <f>IF(AND(B49&lt;=NKC!$N$8,B49&gt;=NKC!$M$8),"x","")</f>
        <v>x</v>
      </c>
      <c r="AA49" s="845"/>
      <c r="AB49" s="581"/>
    </row>
    <row r="50" spans="1:30" s="201" customFormat="1" ht="15.75" customHeight="1">
      <c r="A50" s="846" t="str">
        <f>IF(B50&lt;&gt;"",IF(AND(B50&gt;=_TM1,B50&lt;=_TM2,OR(TH!L50="1111",TH!M50="1111")),TH!D50,""),"")</f>
        <v/>
      </c>
      <c r="B50" s="36">
        <f>IF(C50&lt;&gt;"",MONTH(C50),"")</f>
        <v>9</v>
      </c>
      <c r="C50" s="187">
        <f>E50</f>
        <v>41167</v>
      </c>
      <c r="D50" s="180" t="s">
        <v>739</v>
      </c>
      <c r="E50" s="180">
        <v>41167</v>
      </c>
      <c r="F50" s="188" t="s">
        <v>623</v>
      </c>
      <c r="G50" s="853"/>
      <c r="H50" s="200" t="s">
        <v>625</v>
      </c>
      <c r="I50" s="249"/>
      <c r="J50" s="249"/>
      <c r="K50" s="37">
        <f>96876</f>
        <v>96876</v>
      </c>
      <c r="L50" s="190" t="s">
        <v>83</v>
      </c>
      <c r="M50" s="190" t="s">
        <v>47</v>
      </c>
      <c r="N50" s="50" t="str">
        <f>IF(AND('331-CT'!$E$7=TH!H50,OR(L50="331",M50="331")),"331",IF(AND(OR(L50="131",M50="131"),H50='131-CT'!$E$7),"131",""))</f>
        <v/>
      </c>
      <c r="O50" s="50" t="str">
        <f>IF(AND($B50&gt;='111'!$N$11,$B50&lt;='111'!$O$11,OR($L50=$O$7,$M50=$O$7)),"x","")</f>
        <v/>
      </c>
      <c r="P50" s="50" t="str">
        <f>IF(AND($L50=$O$7,$B50&lt;'111'!$N$11),"x","")</f>
        <v/>
      </c>
      <c r="Q50" s="50" t="str">
        <f>IF(AND($M50=$O$7,$B50&lt;'111'!$N$11),"x","")</f>
        <v>x</v>
      </c>
      <c r="R50" s="50" t="str">
        <f>IF(ISERROR(FIND('112'!$M$9,G50,1)),"",IF((AND(FIND('112'!$M$9,G50,1)&gt;=1,$B50&gt;='112'!$N$8,$B50&lt;='112'!$O$8,OR($L50='112'!$I$6,$M50='112'!$I$6))),"x",""))</f>
        <v/>
      </c>
      <c r="S50" s="50" t="str">
        <f>IF(ISERROR(FIND('112'!$M$9,G50,1)),"",IF((AND(LEFT(G50,2)=LEFT('112'!$M$9,2),B50&lt;'112'!$N$8,$L50='112'!$I$6)),"x",""))</f>
        <v/>
      </c>
      <c r="T50" s="50" t="str">
        <f>IF(ISERROR(FIND('112'!$M$9,G50,1)),"",IF((AND(RIGHT(G50,2)=RIGHT('112'!$M$9,2),B50&lt;'112'!$N$8,$M50='112'!$I$6)),"x",""))</f>
        <v/>
      </c>
      <c r="U50" s="50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0" t="str">
        <f>IF(OR(TH!L50=TH!$V$7,M50=TH!$V$7),"x","")</f>
        <v>x</v>
      </c>
      <c r="W50" s="50" t="str">
        <f>IF(AND(B50&gt;='IN-NX'!$P$3,B50&lt;='IN-NX'!$Q$3,'IN-NX'!$D$7=D50,OR(LEFT(L50,2)="15",AND(LEFT(M50,2)&lt;&gt;"15",LEFT(M50,2)&lt;&gt;"33"))),"x","")</f>
        <v/>
      </c>
      <c r="X50" s="50" t="str">
        <f>IF(AND(OR(LEFT(TH!L50,2)="15",LEFT(TH!M50,2)="15"),'152-CT'!$J$8=TH!F50),"x","")</f>
        <v/>
      </c>
      <c r="Y50" s="50" t="str">
        <f>IF(AND(OR(LEFT(TH!L50,2)="15",LEFT(TH!M50,2)="15"),TK!$E$7=TH!F50),"x","")</f>
        <v/>
      </c>
      <c r="Z50" s="50" t="str">
        <f>IF(AND(B50&lt;=NKC!$N$8,B50&gt;=NKC!$M$8),"x","")</f>
        <v>x</v>
      </c>
      <c r="AA50" s="845"/>
      <c r="AB50" s="581"/>
    </row>
    <row r="51" spans="1:30" s="201" customFormat="1" ht="15.75" customHeight="1">
      <c r="A51" s="846" t="str">
        <f>IF(B51&lt;&gt;"",IF(AND(B51&gt;=_TM1,B51&lt;=_TM2,OR(TH!L51="1111",TH!M51="1111")),TH!D51,""),"")</f>
        <v/>
      </c>
      <c r="B51" s="36">
        <f>IF(C51&lt;&gt;"",MONTH(C51),"")</f>
        <v>9</v>
      </c>
      <c r="C51" s="187">
        <f>E51</f>
        <v>41167</v>
      </c>
      <c r="D51" s="180" t="s">
        <v>739</v>
      </c>
      <c r="E51" s="180">
        <v>41167</v>
      </c>
      <c r="F51" s="188" t="s">
        <v>624</v>
      </c>
      <c r="G51" s="853"/>
      <c r="H51" s="200" t="s">
        <v>625</v>
      </c>
      <c r="I51" s="249"/>
      <c r="J51" s="249"/>
      <c r="K51" s="37">
        <f>9688</f>
        <v>9688</v>
      </c>
      <c r="L51" s="190" t="s">
        <v>9</v>
      </c>
      <c r="M51" s="190" t="s">
        <v>47</v>
      </c>
      <c r="N51" s="50" t="str">
        <f>IF(AND('331-CT'!$E$7=TH!H51,OR(L51="331",M51="331")),"331",IF(AND(OR(L51="131",M51="131"),H51='131-CT'!$E$7),"131",""))</f>
        <v/>
      </c>
      <c r="O51" s="50" t="str">
        <f>IF(AND($B51&gt;='111'!$N$11,$B51&lt;='111'!$O$11,OR($L51=$O$7,$M51=$O$7)),"x","")</f>
        <v/>
      </c>
      <c r="P51" s="50" t="str">
        <f>IF(AND($L51=$O$7,$B51&lt;'111'!$N$11),"x","")</f>
        <v/>
      </c>
      <c r="Q51" s="50" t="str">
        <f>IF(AND($M51=$O$7,$B51&lt;'111'!$N$11),"x","")</f>
        <v>x</v>
      </c>
      <c r="R51" s="50" t="str">
        <f>IF(ISERROR(FIND('112'!$M$9,G51,1)),"",IF((AND(FIND('112'!$M$9,G51,1)&gt;=1,$B51&gt;='112'!$N$8,$B51&lt;='112'!$O$8,OR($L51='112'!$I$6,$M51='112'!$I$6))),"x",""))</f>
        <v/>
      </c>
      <c r="S51" s="50" t="str">
        <f>IF(ISERROR(FIND('112'!$M$9,G51,1)),"",IF((AND(LEFT(G51,2)=LEFT('112'!$M$9,2),B51&lt;'112'!$N$8,$L51='112'!$I$6)),"x",""))</f>
        <v/>
      </c>
      <c r="T51" s="50" t="str">
        <f>IF(ISERROR(FIND('112'!$M$9,G51,1)),"",IF((AND(RIGHT(G51,2)=RIGHT('112'!$M$9,2),B51&lt;'112'!$N$8,$M51='112'!$I$6)),"x",""))</f>
        <v/>
      </c>
      <c r="U51" s="50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0" t="str">
        <f>IF(OR(TH!L51=TH!$V$7,M51=TH!$V$7),"x","")</f>
        <v/>
      </c>
      <c r="W51" s="50" t="str">
        <f>IF(AND(B51&gt;='IN-NX'!$P$3,B51&lt;='IN-NX'!$Q$3,'IN-NX'!$D$7=D51,OR(LEFT(L51,2)="15",AND(LEFT(M51,2)&lt;&gt;"15",LEFT(M51,2)&lt;&gt;"33"))),"x","")</f>
        <v/>
      </c>
      <c r="X51" s="50" t="str">
        <f>IF(AND(OR(LEFT(TH!L51,2)="15",LEFT(TH!M51,2)="15"),'152-CT'!$J$8=TH!F51),"x","")</f>
        <v/>
      </c>
      <c r="Y51" s="50" t="str">
        <f>IF(AND(OR(LEFT(TH!L51,2)="15",LEFT(TH!M51,2)="15"),TK!$E$7=TH!F51),"x","")</f>
        <v/>
      </c>
      <c r="Z51" s="50" t="str">
        <f>IF(AND(B51&lt;=NKC!$N$8,B51&gt;=NKC!$M$8),"x","")</f>
        <v>x</v>
      </c>
      <c r="AA51" s="845"/>
      <c r="AB51" s="581"/>
    </row>
    <row r="52" spans="1:30" s="201" customFormat="1" ht="15.75" customHeight="1">
      <c r="A52" s="846" t="str">
        <f>IF(B52&lt;&gt;"",IF(AND(B52&gt;=_TM1,B52&lt;=_TM2,OR(TH!L52="1111",TH!M52="1111")),TH!D52,""),"")</f>
        <v/>
      </c>
      <c r="B52" s="36">
        <f>IF(C52&lt;&gt;"",MONTH(C52),"")</f>
        <v>9</v>
      </c>
      <c r="C52" s="187">
        <f>E52</f>
        <v>41169</v>
      </c>
      <c r="D52" s="180" t="s">
        <v>715</v>
      </c>
      <c r="E52" s="180">
        <v>41169</v>
      </c>
      <c r="F52" s="185" t="s">
        <v>718</v>
      </c>
      <c r="G52" s="853" t="s">
        <v>616</v>
      </c>
      <c r="H52" s="189" t="s">
        <v>719</v>
      </c>
      <c r="I52" s="249"/>
      <c r="J52" s="249"/>
      <c r="K52" s="589">
        <v>20532600</v>
      </c>
      <c r="L52" s="590" t="s">
        <v>24</v>
      </c>
      <c r="M52" s="590" t="s">
        <v>269</v>
      </c>
      <c r="N52" s="50" t="str">
        <f>IF(AND('331-CT'!$E$7=TH!H52,OR(L52="331",M52="331")),"331",IF(AND(OR(L52="131",M52="131"),H52='131-CT'!$E$7),"131",""))</f>
        <v/>
      </c>
      <c r="O52" s="50" t="str">
        <f>IF(AND($B52&gt;='111'!$N$11,$B52&lt;='111'!$O$11,OR($L52=$O$7,$M52=$O$7)),"x","")</f>
        <v/>
      </c>
      <c r="P52" s="50" t="str">
        <f>IF(AND($L52=$O$7,$B52&lt;'111'!$N$11),"x","")</f>
        <v/>
      </c>
      <c r="Q52" s="50" t="str">
        <f>IF(AND($M52=$O$7,$B52&lt;'111'!$N$11),"x","")</f>
        <v/>
      </c>
      <c r="R52" s="50" t="str">
        <f>IF(ISERROR(FIND('112'!$M$9,G52,1)),"",IF((AND(FIND('112'!$M$9,G52,1)&gt;=1,$B52&gt;='112'!$N$8,$B52&lt;='112'!$O$8,OR($L52='112'!$I$6,$M52='112'!$I$6))),"x",""))</f>
        <v/>
      </c>
      <c r="S52" s="50" t="str">
        <f>IF(ISERROR(FIND('112'!$M$9,G52,1)),"",IF((AND(LEFT(G52,2)=LEFT('112'!$M$9,2),B52&lt;'112'!$N$8,$L52='112'!$I$6)),"x",""))</f>
        <v>x</v>
      </c>
      <c r="T52" s="50" t="str">
        <f>IF(ISERROR(FIND('112'!$M$9,G52,1)),"",IF((AND(RIGHT(G52,2)=RIGHT('112'!$M$9,2),B52&lt;'112'!$N$8,$M52='112'!$I$6)),"x",""))</f>
        <v/>
      </c>
      <c r="U52" s="50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0" t="str">
        <f>IF(OR(TH!L52=TH!$V$7,M52=TH!$V$7),"x","")</f>
        <v/>
      </c>
      <c r="W52" s="50" t="str">
        <f>IF(AND(B52&gt;='IN-NX'!$P$3,B52&lt;='IN-NX'!$Q$3,'IN-NX'!$D$7=D52,OR(LEFT(L52,2)="15",AND(LEFT(M52,2)&lt;&gt;"15",LEFT(M52,2)&lt;&gt;"33"))),"x","")</f>
        <v/>
      </c>
      <c r="X52" s="50" t="str">
        <f>IF(AND(OR(LEFT(TH!L52,2)="15",LEFT(TH!M52,2)="15"),'152-CT'!$J$8=TH!F52),"x","")</f>
        <v/>
      </c>
      <c r="Y52" s="50" t="str">
        <f>IF(AND(OR(LEFT(TH!L52,2)="15",LEFT(TH!M52,2)="15"),TK!$E$7=TH!F52),"x","")</f>
        <v/>
      </c>
      <c r="Z52" s="50" t="str">
        <f>IF(AND(B52&lt;=NKC!$N$8,B52&gt;=NKC!$M$8),"x","")</f>
        <v>x</v>
      </c>
      <c r="AA52" s="845"/>
      <c r="AB52" s="581"/>
      <c r="AC52" s="581"/>
      <c r="AD52" s="581"/>
    </row>
    <row r="53" spans="1:30" s="201" customFormat="1" ht="15.75" customHeight="1">
      <c r="A53" s="846" t="str">
        <f>IF(B53&lt;&gt;"",IF(AND(B53&gt;=_TM1,B53&lt;=_TM2,OR(TH!L53="1111",TH!M53="1111")),TH!D53,""),"")</f>
        <v/>
      </c>
      <c r="B53" s="36">
        <f>IF(C53&lt;&gt;"",MONTH(C53),"")</f>
        <v>9</v>
      </c>
      <c r="C53" s="187">
        <f>E53</f>
        <v>41171</v>
      </c>
      <c r="D53" s="180" t="s">
        <v>740</v>
      </c>
      <c r="E53" s="180">
        <v>41171</v>
      </c>
      <c r="F53" s="188" t="s">
        <v>621</v>
      </c>
      <c r="G53" s="853" t="s">
        <v>626</v>
      </c>
      <c r="H53" s="200" t="s">
        <v>620</v>
      </c>
      <c r="I53" s="249"/>
      <c r="J53" s="249"/>
      <c r="K53" s="37">
        <f>97273+136364</f>
        <v>233637</v>
      </c>
      <c r="L53" s="190" t="s">
        <v>83</v>
      </c>
      <c r="M53" s="190" t="s">
        <v>47</v>
      </c>
      <c r="N53" s="50" t="str">
        <f>IF(AND('331-CT'!$E$7=TH!H53,OR(L53="331",M53="331")),"331",IF(AND(OR(L53="131",M53="131"),H53='131-CT'!$E$7),"131",""))</f>
        <v/>
      </c>
      <c r="O53" s="50" t="str">
        <f>IF(AND($B53&gt;='111'!$N$11,$B53&lt;='111'!$O$11,OR($L53=$O$7,$M53=$O$7)),"x","")</f>
        <v/>
      </c>
      <c r="P53" s="50" t="str">
        <f>IF(AND($L53=$O$7,$B53&lt;'111'!$N$11),"x","")</f>
        <v/>
      </c>
      <c r="Q53" s="50" t="str">
        <f>IF(AND($M53=$O$7,$B53&lt;'111'!$N$11),"x","")</f>
        <v>x</v>
      </c>
      <c r="R53" s="50" t="str">
        <f>IF(ISERROR(FIND('112'!$M$9,G53,1)),"",IF((AND(FIND('112'!$M$9,G53,1)&gt;=1,$B53&gt;='112'!$N$8,$B53&lt;='112'!$O$8,OR($L53='112'!$I$6,$M53='112'!$I$6))),"x",""))</f>
        <v/>
      </c>
      <c r="S53" s="50" t="str">
        <f>IF(ISERROR(FIND('112'!$M$9,G53,1)),"",IF((AND(LEFT(G53,2)=LEFT('112'!$M$9,2),B53&lt;'112'!$N$8,$L53='112'!$I$6)),"x",""))</f>
        <v/>
      </c>
      <c r="T53" s="50" t="str">
        <f>IF(ISERROR(FIND('112'!$M$9,G53,1)),"",IF((AND(RIGHT(G53,2)=RIGHT('112'!$M$9,2),B53&lt;'112'!$N$8,$M53='112'!$I$6)),"x",""))</f>
        <v/>
      </c>
      <c r="U53" s="50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0" t="str">
        <f>IF(OR(TH!L53=TH!$V$7,M53=TH!$V$7),"x","")</f>
        <v>x</v>
      </c>
      <c r="W53" s="50" t="str">
        <f>IF(AND(B53&gt;='IN-NX'!$P$3,B53&lt;='IN-NX'!$Q$3,'IN-NX'!$D$7=D53,OR(LEFT(L53,2)="15",AND(LEFT(M53,2)&lt;&gt;"15",LEFT(M53,2)&lt;&gt;"33"))),"x","")</f>
        <v/>
      </c>
      <c r="X53" s="50" t="str">
        <f>IF(AND(OR(LEFT(TH!L53,2)="15",LEFT(TH!M53,2)="15"),'152-CT'!$J$8=TH!F53),"x","")</f>
        <v/>
      </c>
      <c r="Y53" s="50" t="str">
        <f>IF(AND(OR(LEFT(TH!L53,2)="15",LEFT(TH!M53,2)="15"),TK!$E$7=TH!F53),"x","")</f>
        <v/>
      </c>
      <c r="Z53" s="50" t="str">
        <f>IF(AND(B53&lt;=NKC!$N$8,B53&gt;=NKC!$M$8),"x","")</f>
        <v>x</v>
      </c>
      <c r="AA53" s="845"/>
      <c r="AB53" s="581"/>
    </row>
    <row r="54" spans="1:30" s="201" customFormat="1" ht="15.75" customHeight="1">
      <c r="A54" s="846" t="str">
        <f>IF(B54&lt;&gt;"",IF(AND(B54&gt;=_TM1,B54&lt;=_TM2,OR(TH!L54="1111",TH!M54="1111")),TH!D54,""),"")</f>
        <v/>
      </c>
      <c r="B54" s="36">
        <f>IF(C54&lt;&gt;"",MONTH(C54),"")</f>
        <v>9</v>
      </c>
      <c r="C54" s="187">
        <f>E54</f>
        <v>41171</v>
      </c>
      <c r="D54" s="180" t="s">
        <v>740</v>
      </c>
      <c r="E54" s="180">
        <v>41171</v>
      </c>
      <c r="F54" s="188" t="s">
        <v>622</v>
      </c>
      <c r="G54" s="853" t="s">
        <v>626</v>
      </c>
      <c r="H54" s="200" t="s">
        <v>620</v>
      </c>
      <c r="I54" s="249"/>
      <c r="J54" s="249"/>
      <c r="K54" s="37">
        <f>9727+13636</f>
        <v>23363</v>
      </c>
      <c r="L54" s="190" t="s">
        <v>9</v>
      </c>
      <c r="M54" s="190" t="s">
        <v>47</v>
      </c>
      <c r="N54" s="50" t="str">
        <f>IF(AND('331-CT'!$E$7=TH!H54,OR(L54="331",M54="331")),"331",IF(AND(OR(L54="131",M54="131"),H54='131-CT'!$E$7),"131",""))</f>
        <v/>
      </c>
      <c r="O54" s="50" t="str">
        <f>IF(AND($B54&gt;='111'!$N$11,$B54&lt;='111'!$O$11,OR($L54=$O$7,$M54=$O$7)),"x","")</f>
        <v/>
      </c>
      <c r="P54" s="50" t="str">
        <f>IF(AND($L54=$O$7,$B54&lt;'111'!$N$11),"x","")</f>
        <v/>
      </c>
      <c r="Q54" s="50" t="str">
        <f>IF(AND($M54=$O$7,$B54&lt;'111'!$N$11),"x","")</f>
        <v>x</v>
      </c>
      <c r="R54" s="50" t="str">
        <f>IF(ISERROR(FIND('112'!$M$9,G54,1)),"",IF((AND(FIND('112'!$M$9,G54,1)&gt;=1,$B54&gt;='112'!$N$8,$B54&lt;='112'!$O$8,OR($L54='112'!$I$6,$M54='112'!$I$6))),"x",""))</f>
        <v/>
      </c>
      <c r="S54" s="50" t="str">
        <f>IF(ISERROR(FIND('112'!$M$9,G54,1)),"",IF((AND(LEFT(G54,2)=LEFT('112'!$M$9,2),B54&lt;'112'!$N$8,$L54='112'!$I$6)),"x",""))</f>
        <v/>
      </c>
      <c r="T54" s="50" t="str">
        <f>IF(ISERROR(FIND('112'!$M$9,G54,1)),"",IF((AND(RIGHT(G54,2)=RIGHT('112'!$M$9,2),B54&lt;'112'!$N$8,$M54='112'!$I$6)),"x",""))</f>
        <v/>
      </c>
      <c r="U54" s="50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0" t="str">
        <f>IF(OR(TH!L54=TH!$V$7,M54=TH!$V$7),"x","")</f>
        <v/>
      </c>
      <c r="W54" s="50" t="str">
        <f>IF(AND(B54&gt;='IN-NX'!$P$3,B54&lt;='IN-NX'!$Q$3,'IN-NX'!$D$7=D54,OR(LEFT(L54,2)="15",AND(LEFT(M54,2)&lt;&gt;"15",LEFT(M54,2)&lt;&gt;"33"))),"x","")</f>
        <v/>
      </c>
      <c r="X54" s="50" t="str">
        <f>IF(AND(OR(LEFT(TH!L54,2)="15",LEFT(TH!M54,2)="15"),'152-CT'!$J$8=TH!F54),"x","")</f>
        <v/>
      </c>
      <c r="Y54" s="50" t="str">
        <f>IF(AND(OR(LEFT(TH!L54,2)="15",LEFT(TH!M54,2)="15"),TK!$E$7=TH!F54),"x","")</f>
        <v/>
      </c>
      <c r="Z54" s="50" t="str">
        <f>IF(AND(B54&lt;=NKC!$N$8,B54&gt;=NKC!$M$8),"x","")</f>
        <v>x</v>
      </c>
      <c r="AA54" s="845"/>
      <c r="AB54" s="581"/>
    </row>
    <row r="55" spans="1:30" s="201" customFormat="1" ht="15.75" customHeight="1">
      <c r="A55" s="846" t="str">
        <f>IF(B55&lt;&gt;"",IF(AND(B55&gt;=_TM1,B55&lt;=_TM2,OR(TH!L55="1111",TH!M55="1111")),TH!D55,""),"")</f>
        <v/>
      </c>
      <c r="B55" s="36">
        <f>IF(C55&lt;&gt;"",MONTH(C55),"")</f>
        <v>9</v>
      </c>
      <c r="C55" s="187">
        <f>E55</f>
        <v>41172</v>
      </c>
      <c r="D55" s="187" t="s">
        <v>747</v>
      </c>
      <c r="E55" s="180">
        <v>41172</v>
      </c>
      <c r="F55" s="185" t="s">
        <v>649</v>
      </c>
      <c r="G55" s="853" t="s">
        <v>648</v>
      </c>
      <c r="H55" s="7" t="s">
        <v>632</v>
      </c>
      <c r="I55" s="249">
        <v>500</v>
      </c>
      <c r="J55" s="249">
        <v>10286</v>
      </c>
      <c r="K55" s="37">
        <f>ROUND(I55*J55,0)</f>
        <v>5143000</v>
      </c>
      <c r="L55" s="190" t="s">
        <v>617</v>
      </c>
      <c r="M55" s="190" t="s">
        <v>8</v>
      </c>
      <c r="N55" s="50" t="str">
        <f>IF(AND('331-CT'!$E$7=TH!H55,OR(L55="331",M55="331")),"331",IF(AND(OR(L55="131",M55="131"),H55='131-CT'!$E$7),"131",""))</f>
        <v>331</v>
      </c>
      <c r="O55" s="50" t="str">
        <f>IF(AND($B55&gt;='111'!$N$11,$B55&lt;='111'!$O$11,OR($L55=$O$7,$M55=$O$7)),"x","")</f>
        <v/>
      </c>
      <c r="P55" s="50" t="str">
        <f>IF(AND($L55=$O$7,$B55&lt;'111'!$N$11),"x","")</f>
        <v/>
      </c>
      <c r="Q55" s="50" t="str">
        <f>IF(AND($M55=$O$7,$B55&lt;'111'!$N$11),"x","")</f>
        <v/>
      </c>
      <c r="R55" s="50" t="str">
        <f>IF(ISERROR(FIND('112'!$M$9,G55,1)),"",IF((AND(FIND('112'!$M$9,G55,1)&gt;=1,$B55&gt;='112'!$N$8,$B55&lt;='112'!$O$8,OR($L55='112'!$I$6,$M55='112'!$I$6))),"x",""))</f>
        <v/>
      </c>
      <c r="S55" s="50" t="str">
        <f>IF(ISERROR(FIND('112'!$M$9,G55,1)),"",IF((AND(LEFT(G55,2)=LEFT('112'!$M$9,2),B55&lt;'112'!$N$8,$L55='112'!$I$6)),"x",""))</f>
        <v/>
      </c>
      <c r="T55" s="50" t="str">
        <f>IF(ISERROR(FIND('112'!$M$9,G55,1)),"",IF((AND(RIGHT(G55,2)=RIGHT('112'!$M$9,2),B55&lt;'112'!$N$8,$M55='112'!$I$6)),"x",""))</f>
        <v/>
      </c>
      <c r="U55" s="50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0" t="str">
        <f>IF(OR(TH!L55=TH!$V$7,M55=TH!$V$7),"x","")</f>
        <v/>
      </c>
      <c r="W55" s="50" t="str">
        <f>IF(AND(B55&gt;='IN-NX'!$P$3,B55&lt;='IN-NX'!$Q$3,'IN-NX'!$D$7=D55,OR(LEFT(L55,2)="15",AND(LEFT(M55,2)&lt;&gt;"15",LEFT(M55,2)&lt;&gt;"33"))),"x","")</f>
        <v/>
      </c>
      <c r="X55" s="50" t="str">
        <f>IF(AND(OR(LEFT(TH!L55,2)="15",LEFT(TH!M55,2)="15"),'152-CT'!$J$8=TH!F55),"x","")</f>
        <v/>
      </c>
      <c r="Y55" s="50" t="str">
        <f>IF(AND(OR(LEFT(TH!L55,2)="15",LEFT(TH!M55,2)="15"),TK!$E$7=TH!F55),"x","")</f>
        <v/>
      </c>
      <c r="Z55" s="50" t="str">
        <f>IF(AND(B55&lt;=NKC!$N$8,B55&gt;=NKC!$M$8),"x","")</f>
        <v>x</v>
      </c>
      <c r="AA55" s="845"/>
      <c r="AB55" s="581"/>
    </row>
    <row r="56" spans="1:30" s="201" customFormat="1" ht="15.75" customHeight="1">
      <c r="A56" s="846" t="str">
        <f>IF(B56&lt;&gt;"",IF(AND(B56&gt;=_TM1,B56&lt;=_TM2,OR(TH!L56="1111",TH!M56="1111")),TH!D56,""),"")</f>
        <v/>
      </c>
      <c r="B56" s="36">
        <f>IF(C56&lt;&gt;"",MONTH(C56),"")</f>
        <v>9</v>
      </c>
      <c r="C56" s="187">
        <f>E56</f>
        <v>41172</v>
      </c>
      <c r="D56" s="187" t="s">
        <v>747</v>
      </c>
      <c r="E56" s="180">
        <v>41172</v>
      </c>
      <c r="F56" s="185" t="s">
        <v>634</v>
      </c>
      <c r="G56" s="853" t="s">
        <v>648</v>
      </c>
      <c r="H56" s="7" t="s">
        <v>632</v>
      </c>
      <c r="I56" s="249"/>
      <c r="J56" s="249"/>
      <c r="K56" s="37">
        <v>514300</v>
      </c>
      <c r="L56" s="190" t="s">
        <v>9</v>
      </c>
      <c r="M56" s="190" t="s">
        <v>8</v>
      </c>
      <c r="N56" s="50" t="str">
        <f>IF(AND('331-CT'!$E$7=TH!H56,OR(L56="331",M56="331")),"331",IF(AND(OR(L56="131",M56="131"),H56='131-CT'!$E$7),"131",""))</f>
        <v>331</v>
      </c>
      <c r="O56" s="50" t="str">
        <f>IF(AND($B56&gt;='111'!$N$11,$B56&lt;='111'!$O$11,OR($L56=$O$7,$M56=$O$7)),"x","")</f>
        <v/>
      </c>
      <c r="P56" s="50" t="str">
        <f>IF(AND($L56=$O$7,$B56&lt;'111'!$N$11),"x","")</f>
        <v/>
      </c>
      <c r="Q56" s="50" t="str">
        <f>IF(AND($M56=$O$7,$B56&lt;'111'!$N$11),"x","")</f>
        <v/>
      </c>
      <c r="R56" s="50" t="str">
        <f>IF(ISERROR(FIND('112'!$M$9,G56,1)),"",IF((AND(FIND('112'!$M$9,G56,1)&gt;=1,$B56&gt;='112'!$N$8,$B56&lt;='112'!$O$8,OR($L56='112'!$I$6,$M56='112'!$I$6))),"x",""))</f>
        <v/>
      </c>
      <c r="S56" s="50" t="str">
        <f>IF(ISERROR(FIND('112'!$M$9,G56,1)),"",IF((AND(LEFT(G56,2)=LEFT('112'!$M$9,2),B56&lt;'112'!$N$8,$L56='112'!$I$6)),"x",""))</f>
        <v/>
      </c>
      <c r="T56" s="50" t="str">
        <f>IF(ISERROR(FIND('112'!$M$9,G56,1)),"",IF((AND(RIGHT(G56,2)=RIGHT('112'!$M$9,2),B56&lt;'112'!$N$8,$M56='112'!$I$6)),"x",""))</f>
        <v/>
      </c>
      <c r="U56" s="50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0" t="str">
        <f>IF(OR(TH!L56=TH!$V$7,M56=TH!$V$7),"x","")</f>
        <v/>
      </c>
      <c r="W56" s="50" t="str">
        <f>IF(AND(B56&gt;='IN-NX'!$P$3,B56&lt;='IN-NX'!$Q$3,'IN-NX'!$D$7=D56,OR(LEFT(L56,2)="15",AND(LEFT(M56,2)&lt;&gt;"15",LEFT(M56,2)&lt;&gt;"33"))),"x","")</f>
        <v/>
      </c>
      <c r="X56" s="50" t="str">
        <f>IF(AND(OR(LEFT(TH!L56,2)="15",LEFT(TH!M56,2)="15"),'152-CT'!$J$8=TH!F56),"x","")</f>
        <v/>
      </c>
      <c r="Y56" s="50" t="str">
        <f>IF(AND(OR(LEFT(TH!L56,2)="15",LEFT(TH!M56,2)="15"),TK!$E$7=TH!F56),"x","")</f>
        <v/>
      </c>
      <c r="Z56" s="50" t="str">
        <f>IF(AND(B56&lt;=NKC!$N$8,B56&gt;=NKC!$M$8),"x","")</f>
        <v>x</v>
      </c>
      <c r="AA56" s="845"/>
      <c r="AB56" s="581"/>
    </row>
    <row r="57" spans="1:30" s="201" customFormat="1" ht="15.75" customHeight="1">
      <c r="A57" s="846" t="str">
        <f>IF(B57&lt;&gt;"",IF(AND(B57&gt;=_TM1,B57&lt;=_TM2,OR(TH!L57="1111",TH!M57="1111")),TH!D57,""),"")</f>
        <v/>
      </c>
      <c r="B57" s="36">
        <f>IF(C57&lt;&gt;"",MONTH(C57),"")</f>
        <v>9</v>
      </c>
      <c r="C57" s="187">
        <f>E57</f>
        <v>41172</v>
      </c>
      <c r="D57" s="180" t="s">
        <v>741</v>
      </c>
      <c r="E57" s="180">
        <v>41172</v>
      </c>
      <c r="F57" s="185" t="s">
        <v>730</v>
      </c>
      <c r="G57" s="853" t="s">
        <v>648</v>
      </c>
      <c r="H57" s="7" t="s">
        <v>632</v>
      </c>
      <c r="I57" s="249"/>
      <c r="J57" s="249"/>
      <c r="K57" s="37">
        <v>5657300</v>
      </c>
      <c r="L57" s="190" t="s">
        <v>8</v>
      </c>
      <c r="M57" s="190" t="s">
        <v>47</v>
      </c>
      <c r="N57" s="50" t="str">
        <f>IF(AND('331-CT'!$E$7=TH!H57,OR(L57="331",M57="331")),"331",IF(AND(OR(L57="131",M57="131"),H57='131-CT'!$E$7),"131",""))</f>
        <v>331</v>
      </c>
      <c r="O57" s="50" t="str">
        <f>IF(AND($B57&gt;='111'!$N$11,$B57&lt;='111'!$O$11,OR($L57=$O$7,$M57=$O$7)),"x","")</f>
        <v/>
      </c>
      <c r="P57" s="50" t="str">
        <f>IF(AND($L57=$O$7,$B57&lt;'111'!$N$11),"x","")</f>
        <v/>
      </c>
      <c r="Q57" s="50" t="str">
        <f>IF(AND($M57=$O$7,$B57&lt;'111'!$N$11),"x","")</f>
        <v>x</v>
      </c>
      <c r="R57" s="50" t="str">
        <f>IF(ISERROR(FIND('112'!$M$9,G57,1)),"",IF((AND(FIND('112'!$M$9,G57,1)&gt;=1,$B57&gt;='112'!$N$8,$B57&lt;='112'!$O$8,OR($L57='112'!$I$6,$M57='112'!$I$6))),"x",""))</f>
        <v/>
      </c>
      <c r="S57" s="50" t="str">
        <f>IF(ISERROR(FIND('112'!$M$9,G57,1)),"",IF((AND(LEFT(G57,2)=LEFT('112'!$M$9,2),B57&lt;'112'!$N$8,$L57='112'!$I$6)),"x",""))</f>
        <v/>
      </c>
      <c r="T57" s="50" t="str">
        <f>IF(ISERROR(FIND('112'!$M$9,G57,1)),"",IF((AND(RIGHT(G57,2)=RIGHT('112'!$M$9,2),B57&lt;'112'!$N$8,$M57='112'!$I$6)),"x",""))</f>
        <v/>
      </c>
      <c r="U57" s="50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0" t="str">
        <f>IF(OR(TH!L57=TH!$V$7,M57=TH!$V$7),"x","")</f>
        <v/>
      </c>
      <c r="W57" s="50" t="str">
        <f>IF(AND(B57&gt;='IN-NX'!$P$3,B57&lt;='IN-NX'!$Q$3,'IN-NX'!$D$7=D57,OR(LEFT(L57,2)="15",AND(LEFT(M57,2)&lt;&gt;"15",LEFT(M57,2)&lt;&gt;"33"))),"x","")</f>
        <v/>
      </c>
      <c r="X57" s="50" t="str">
        <f>IF(AND(OR(LEFT(TH!L57,2)="15",LEFT(TH!M57,2)="15"),'152-CT'!$J$8=TH!F57),"x","")</f>
        <v/>
      </c>
      <c r="Y57" s="50" t="str">
        <f>IF(AND(OR(LEFT(TH!L57,2)="15",LEFT(TH!M57,2)="15"),TK!$E$7=TH!F57),"x","")</f>
        <v/>
      </c>
      <c r="Z57" s="50" t="str">
        <f>IF(AND(B57&lt;=NKC!$N$8,B57&gt;=NKC!$M$8),"x","")</f>
        <v>x</v>
      </c>
      <c r="AA57" s="845"/>
      <c r="AB57" s="581"/>
    </row>
    <row r="58" spans="1:30" s="201" customFormat="1" ht="15.75" customHeight="1">
      <c r="A58" s="846" t="str">
        <f>IF(B58&lt;&gt;"",IF(AND(B58&gt;=_TM1,B58&lt;=_TM2,OR(TH!L58="1111",TH!M58="1111")),TH!D58,""),"")</f>
        <v/>
      </c>
      <c r="B58" s="36">
        <f>IF(C58&lt;&gt;"",MONTH(C58),"")</f>
        <v>9</v>
      </c>
      <c r="C58" s="187">
        <f>E58</f>
        <v>41177</v>
      </c>
      <c r="D58" s="180" t="s">
        <v>715</v>
      </c>
      <c r="E58" s="180">
        <v>41177</v>
      </c>
      <c r="F58" s="185" t="s">
        <v>723</v>
      </c>
      <c r="G58" s="853" t="s">
        <v>616</v>
      </c>
      <c r="H58" s="189"/>
      <c r="I58" s="249"/>
      <c r="J58" s="249"/>
      <c r="K58" s="589">
        <v>9576</v>
      </c>
      <c r="L58" s="590" t="s">
        <v>24</v>
      </c>
      <c r="M58" s="590" t="s">
        <v>40</v>
      </c>
      <c r="N58" s="50" t="str">
        <f>IF(AND('331-CT'!$E$7=TH!H58,OR(L58="331",M58="331")),"331",IF(AND(OR(L58="131",M58="131"),H58='131-CT'!$E$7),"131",""))</f>
        <v/>
      </c>
      <c r="O58" s="50" t="str">
        <f>IF(AND($B58&gt;='111'!$N$11,$B58&lt;='111'!$O$11,OR($L58=$O$7,$M58=$O$7)),"x","")</f>
        <v/>
      </c>
      <c r="P58" s="50" t="str">
        <f>IF(AND($L58=$O$7,$B58&lt;'111'!$N$11),"x","")</f>
        <v/>
      </c>
      <c r="Q58" s="50" t="str">
        <f>IF(AND($M58=$O$7,$B58&lt;'111'!$N$11),"x","")</f>
        <v/>
      </c>
      <c r="R58" s="50" t="str">
        <f>IF(ISERROR(FIND('112'!$M$9,G58,1)),"",IF((AND(FIND('112'!$M$9,G58,1)&gt;=1,$B58&gt;='112'!$N$8,$B58&lt;='112'!$O$8,OR($L58='112'!$I$6,$M58='112'!$I$6))),"x",""))</f>
        <v/>
      </c>
      <c r="S58" s="50" t="str">
        <f>IF(ISERROR(FIND('112'!$M$9,G58,1)),"",IF((AND(LEFT(G58,2)=LEFT('112'!$M$9,2),B58&lt;'112'!$N$8,$L58='112'!$I$6)),"x",""))</f>
        <v>x</v>
      </c>
      <c r="T58" s="50" t="str">
        <f>IF(ISERROR(FIND('112'!$M$9,G58,1)),"",IF((AND(RIGHT(G58,2)=RIGHT('112'!$M$9,2),B58&lt;'112'!$N$8,$M58='112'!$I$6)),"x",""))</f>
        <v/>
      </c>
      <c r="U58" s="50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0" t="str">
        <f>IF(OR(TH!L58=TH!$V$7,M58=TH!$V$7),"x","")</f>
        <v/>
      </c>
      <c r="W58" s="50" t="str">
        <f>IF(AND(B58&gt;='IN-NX'!$P$3,B58&lt;='IN-NX'!$Q$3,'IN-NX'!$D$7=D58,OR(LEFT(L58,2)="15",AND(LEFT(M58,2)&lt;&gt;"15",LEFT(M58,2)&lt;&gt;"33"))),"x","")</f>
        <v/>
      </c>
      <c r="X58" s="50" t="str">
        <f>IF(AND(OR(LEFT(TH!L58,2)="15",LEFT(TH!M58,2)="15"),'152-CT'!$J$8=TH!F58),"x","")</f>
        <v/>
      </c>
      <c r="Y58" s="50" t="str">
        <f>IF(AND(OR(LEFT(TH!L58,2)="15",LEFT(TH!M58,2)="15"),TK!$E$7=TH!F58),"x","")</f>
        <v/>
      </c>
      <c r="Z58" s="50" t="str">
        <f>IF(AND(B58&lt;=NKC!$N$8,B58&gt;=NKC!$M$8),"x","")</f>
        <v>x</v>
      </c>
      <c r="AA58" s="845"/>
      <c r="AB58" s="581"/>
      <c r="AC58" s="581"/>
      <c r="AD58" s="581"/>
    </row>
    <row r="59" spans="1:30" s="201" customFormat="1" ht="15.75" customHeight="1">
      <c r="A59" s="846" t="str">
        <f>IF(B59&lt;&gt;"",IF(AND(B59&gt;=_TM1,B59&lt;=_TM2,OR(TH!L59="1111",TH!M59="1111")),TH!D59,""),"")</f>
        <v/>
      </c>
      <c r="B59" s="36">
        <f>IF(C59&lt;&gt;"",MONTH(C59),"")</f>
        <v>9</v>
      </c>
      <c r="C59" s="187">
        <f>E59</f>
        <v>41177</v>
      </c>
      <c r="D59" s="180" t="s">
        <v>729</v>
      </c>
      <c r="E59" s="180">
        <v>41177</v>
      </c>
      <c r="F59" s="185" t="s">
        <v>717</v>
      </c>
      <c r="G59" s="853" t="s">
        <v>616</v>
      </c>
      <c r="H59" s="189"/>
      <c r="I59" s="249"/>
      <c r="J59" s="249"/>
      <c r="K59" s="589">
        <v>11000</v>
      </c>
      <c r="L59" s="590" t="s">
        <v>83</v>
      </c>
      <c r="M59" s="590" t="s">
        <v>24</v>
      </c>
      <c r="N59" s="50" t="str">
        <f>IF(AND('331-CT'!$E$7=TH!H59,OR(L59="331",M59="331")),"331",IF(AND(OR(L59="131",M59="131"),H59='131-CT'!$E$7),"131",""))</f>
        <v/>
      </c>
      <c r="O59" s="50" t="str">
        <f>IF(AND($B59&gt;='111'!$N$11,$B59&lt;='111'!$O$11,OR($L59=$O$7,$M59=$O$7)),"x","")</f>
        <v/>
      </c>
      <c r="P59" s="50" t="str">
        <f>IF(AND($L59=$O$7,$B59&lt;'111'!$N$11),"x","")</f>
        <v/>
      </c>
      <c r="Q59" s="50" t="str">
        <f>IF(AND($M59=$O$7,$B59&lt;'111'!$N$11),"x","")</f>
        <v/>
      </c>
      <c r="R59" s="50" t="str">
        <f>IF(ISERROR(FIND('112'!$M$9,G59,1)),"",IF((AND(FIND('112'!$M$9,G59,1)&gt;=1,$B59&gt;='112'!$N$8,$B59&lt;='112'!$O$8,OR($L59='112'!$I$6,$M59='112'!$I$6))),"x",""))</f>
        <v/>
      </c>
      <c r="S59" s="50" t="str">
        <f>IF(ISERROR(FIND('112'!$M$9,G59,1)),"",IF((AND(LEFT(G59,2)=LEFT('112'!$M$9,2),B59&lt;'112'!$N$8,$L59='112'!$I$6)),"x",""))</f>
        <v/>
      </c>
      <c r="T59" s="50" t="str">
        <f>IF(ISERROR(FIND('112'!$M$9,G59,1)),"",IF((AND(RIGHT(G59,2)=RIGHT('112'!$M$9,2),B59&lt;'112'!$N$8,$M59='112'!$I$6)),"x",""))</f>
        <v>x</v>
      </c>
      <c r="U59" s="50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0" t="str">
        <f>IF(OR(TH!L59=TH!$V$7,M59=TH!$V$7),"x","")</f>
        <v>x</v>
      </c>
      <c r="W59" s="50" t="str">
        <f>IF(AND(B59&gt;='IN-NX'!$P$3,B59&lt;='IN-NX'!$Q$3,'IN-NX'!$D$7=D59,OR(LEFT(L59,2)="15",AND(LEFT(M59,2)&lt;&gt;"15",LEFT(M59,2)&lt;&gt;"33"))),"x","")</f>
        <v/>
      </c>
      <c r="X59" s="50" t="str">
        <f>IF(AND(OR(LEFT(TH!L59,2)="15",LEFT(TH!M59,2)="15"),'152-CT'!$J$8=TH!F59),"x","")</f>
        <v/>
      </c>
      <c r="Y59" s="50" t="str">
        <f>IF(AND(OR(LEFT(TH!L59,2)="15",LEFT(TH!M59,2)="15"),TK!$E$7=TH!F59),"x","")</f>
        <v/>
      </c>
      <c r="Z59" s="50" t="str">
        <f>IF(AND(B59&lt;=NKC!$N$8,B59&gt;=NKC!$M$8),"x","")</f>
        <v>x</v>
      </c>
      <c r="AA59" s="845"/>
      <c r="AB59" s="581"/>
      <c r="AD59" s="581"/>
    </row>
    <row r="60" spans="1:30" s="201" customFormat="1" ht="15.75" customHeight="1">
      <c r="A60" s="846" t="str">
        <f>IF(B60&lt;&gt;"",IF(AND(B60&gt;=_TM1,B60&lt;=_TM2,OR(TH!L60="1111",TH!M60="1111")),TH!D60,""),"")</f>
        <v/>
      </c>
      <c r="B60" s="36">
        <f>IF(C60&lt;&gt;"",MONTH(C60),"")</f>
        <v>10</v>
      </c>
      <c r="C60" s="187">
        <f>E60</f>
        <v>41183</v>
      </c>
      <c r="D60" s="180" t="s">
        <v>715</v>
      </c>
      <c r="E60" s="180">
        <v>41183</v>
      </c>
      <c r="F60" s="185" t="s">
        <v>718</v>
      </c>
      <c r="G60" s="853" t="s">
        <v>616</v>
      </c>
      <c r="H60" s="189" t="s">
        <v>720</v>
      </c>
      <c r="I60" s="249"/>
      <c r="J60" s="249"/>
      <c r="K60" s="589">
        <v>8024412</v>
      </c>
      <c r="L60" s="590" t="s">
        <v>24</v>
      </c>
      <c r="M60" s="590" t="s">
        <v>269</v>
      </c>
      <c r="N60" s="50" t="str">
        <f>IF(AND('331-CT'!$E$7=TH!H60,OR(L60="331",M60="331")),"331",IF(AND(OR(L60="131",M60="131"),H60='131-CT'!$E$7),"131",""))</f>
        <v/>
      </c>
      <c r="O60" s="50" t="str">
        <f>IF(AND($B60&gt;='111'!$N$11,$B60&lt;='111'!$O$11,OR($L60=$O$7,$M60=$O$7)),"x","")</f>
        <v/>
      </c>
      <c r="P60" s="50" t="str">
        <f>IF(AND($L60=$O$7,$B60&lt;'111'!$N$11),"x","")</f>
        <v/>
      </c>
      <c r="Q60" s="50" t="str">
        <f>IF(AND($M60=$O$7,$B60&lt;'111'!$N$11),"x","")</f>
        <v/>
      </c>
      <c r="R60" s="50" t="str">
        <f>IF(ISERROR(FIND('112'!$M$9,G60,1)),"",IF((AND(FIND('112'!$M$9,G60,1)&gt;=1,$B60&gt;='112'!$N$8,$B60&lt;='112'!$O$8,OR($L60='112'!$I$6,$M60='112'!$I$6))),"x",""))</f>
        <v>x</v>
      </c>
      <c r="S60" s="50" t="str">
        <f>IF(ISERROR(FIND('112'!$M$9,G60,1)),"",IF((AND(LEFT(G60,2)=LEFT('112'!$M$9,2),B60&lt;'112'!$N$8,$L60='112'!$I$6)),"x",""))</f>
        <v/>
      </c>
      <c r="T60" s="50" t="str">
        <f>IF(ISERROR(FIND('112'!$M$9,G60,1)),"",IF((AND(RIGHT(G60,2)=RIGHT('112'!$M$9,2),B60&lt;'112'!$N$8,$M60='112'!$I$6)),"x",""))</f>
        <v/>
      </c>
      <c r="U60" s="50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0" t="str">
        <f>IF(OR(TH!L60=TH!$V$7,M60=TH!$V$7),"x","")</f>
        <v/>
      </c>
      <c r="W60" s="50" t="str">
        <f>IF(AND(B60&gt;='IN-NX'!$P$3,B60&lt;='IN-NX'!$Q$3,'IN-NX'!$D$7=D60,OR(LEFT(L60,2)="15",AND(LEFT(M60,2)&lt;&gt;"15",LEFT(M60,2)&lt;&gt;"33"))),"x","")</f>
        <v/>
      </c>
      <c r="X60" s="50" t="str">
        <f>IF(AND(OR(LEFT(TH!L60,2)="15",LEFT(TH!M60,2)="15"),'152-CT'!$J$8=TH!F60),"x","")</f>
        <v/>
      </c>
      <c r="Y60" s="50" t="str">
        <f>IF(AND(OR(LEFT(TH!L60,2)="15",LEFT(TH!M60,2)="15"),TK!$E$7=TH!F60),"x","")</f>
        <v/>
      </c>
      <c r="Z60" s="50" t="str">
        <f>IF(AND(B60&lt;=NKC!$N$8,B60&gt;=NKC!$M$8),"x","")</f>
        <v/>
      </c>
      <c r="AA60" s="845"/>
      <c r="AB60" s="581"/>
      <c r="AD60" s="581"/>
    </row>
    <row r="61" spans="1:30" s="201" customFormat="1" ht="15.75" customHeight="1">
      <c r="A61" s="846" t="str">
        <f>IF(B61&lt;&gt;"",IF(AND(B61&gt;=_TM1,B61&lt;=_TM2,OR(TH!L61="1111",TH!M61="1111")),TH!D61,""),"")</f>
        <v>T01</v>
      </c>
      <c r="B61" s="36">
        <f>IF(C61&lt;&gt;"",MONTH(C61),"")</f>
        <v>10</v>
      </c>
      <c r="C61" s="187">
        <f>E61</f>
        <v>41187</v>
      </c>
      <c r="D61" s="180" t="s">
        <v>376</v>
      </c>
      <c r="E61" s="180">
        <v>41187</v>
      </c>
      <c r="F61" s="185" t="s">
        <v>721</v>
      </c>
      <c r="G61" s="853" t="s">
        <v>616</v>
      </c>
      <c r="H61" s="189" t="s">
        <v>727</v>
      </c>
      <c r="I61" s="249"/>
      <c r="J61" s="249"/>
      <c r="K61" s="589">
        <v>28000000</v>
      </c>
      <c r="L61" s="590" t="s">
        <v>47</v>
      </c>
      <c r="M61" s="590" t="s">
        <v>24</v>
      </c>
      <c r="N61" s="50" t="str">
        <f>IF(AND('331-CT'!$E$7=TH!H61,OR(L61="331",M61="331")),"331",IF(AND(OR(L61="131",M61="131"),H61='131-CT'!$E$7),"131",""))</f>
        <v/>
      </c>
      <c r="O61" s="50" t="str">
        <f>IF(AND($B61&gt;='111'!$N$11,$B61&lt;='111'!$O$11,OR($L61=$O$7,$M61=$O$7)),"x","")</f>
        <v>x</v>
      </c>
      <c r="P61" s="50" t="str">
        <f>IF(AND($L61=$O$7,$B61&lt;'111'!$N$11),"x","")</f>
        <v/>
      </c>
      <c r="Q61" s="50" t="str">
        <f>IF(AND($M61=$O$7,$B61&lt;'111'!$N$11),"x","")</f>
        <v/>
      </c>
      <c r="R61" s="50" t="str">
        <f>IF(ISERROR(FIND('112'!$M$9,G61,1)),"",IF((AND(FIND('112'!$M$9,G61,1)&gt;=1,$B61&gt;='112'!$N$8,$B61&lt;='112'!$O$8,OR($L61='112'!$I$6,$M61='112'!$I$6))),"x",""))</f>
        <v>x</v>
      </c>
      <c r="S61" s="50" t="str">
        <f>IF(ISERROR(FIND('112'!$M$9,G61,1)),"",IF((AND(LEFT(G61,2)=LEFT('112'!$M$9,2),B61&lt;'112'!$N$8,$L61='112'!$I$6)),"x",""))</f>
        <v/>
      </c>
      <c r="T61" s="50" t="str">
        <f>IF(ISERROR(FIND('112'!$M$9,G61,1)),"",IF((AND(RIGHT(G61,2)=RIGHT('112'!$M$9,2),B61&lt;'112'!$N$8,$M61='112'!$I$6)),"x",""))</f>
        <v/>
      </c>
      <c r="U61" s="50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0" t="str">
        <f>IF(OR(TH!L61=TH!$V$7,M61=TH!$V$7),"x","")</f>
        <v/>
      </c>
      <c r="W61" s="50" t="str">
        <f>IF(AND(B61&gt;='IN-NX'!$P$3,B61&lt;='IN-NX'!$Q$3,'IN-NX'!$D$7=D61,OR(LEFT(L61,2)="15",AND(LEFT(M61,2)&lt;&gt;"15",LEFT(M61,2)&lt;&gt;"33"))),"x","")</f>
        <v/>
      </c>
      <c r="X61" s="50" t="str">
        <f>IF(AND(OR(LEFT(TH!L61,2)="15",LEFT(TH!M61,2)="15"),'152-CT'!$J$8=TH!F61),"x","")</f>
        <v/>
      </c>
      <c r="Y61" s="50" t="str">
        <f>IF(AND(OR(LEFT(TH!L61,2)="15",LEFT(TH!M61,2)="15"),TK!$E$7=TH!F61),"x","")</f>
        <v/>
      </c>
      <c r="Z61" s="50" t="str">
        <f>IF(AND(B61&lt;=NKC!$N$8,B61&gt;=NKC!$M$8),"x","")</f>
        <v/>
      </c>
      <c r="AA61" s="845"/>
      <c r="AB61" s="581"/>
      <c r="AC61" s="581"/>
      <c r="AD61" s="581"/>
    </row>
    <row r="62" spans="1:30" s="201" customFormat="1" ht="15.75" customHeight="1">
      <c r="A62" s="846" t="str">
        <f>IF(B62&lt;&gt;"",IF(AND(B62&gt;=_TM1,B62&lt;=_TM2,OR(TH!L62="1111",TH!M62="1111")),TH!D62,""),"")</f>
        <v/>
      </c>
      <c r="B62" s="36">
        <f>IF(C62&lt;&gt;"",MONTH(C62),"")</f>
        <v>10</v>
      </c>
      <c r="C62" s="187">
        <f>E62</f>
        <v>41187</v>
      </c>
      <c r="D62" s="180" t="s">
        <v>729</v>
      </c>
      <c r="E62" s="180">
        <v>41187</v>
      </c>
      <c r="F62" s="185" t="s">
        <v>722</v>
      </c>
      <c r="G62" s="853" t="s">
        <v>616</v>
      </c>
      <c r="H62" s="189"/>
      <c r="I62" s="249"/>
      <c r="J62" s="249"/>
      <c r="K62" s="589">
        <v>22000</v>
      </c>
      <c r="L62" s="590" t="s">
        <v>83</v>
      </c>
      <c r="M62" s="590" t="s">
        <v>24</v>
      </c>
      <c r="N62" s="50" t="str">
        <f>IF(AND('331-CT'!$E$7=TH!H62,OR(L62="331",M62="331")),"331",IF(AND(OR(L62="131",M62="131"),H62='131-CT'!$E$7),"131",""))</f>
        <v/>
      </c>
      <c r="O62" s="50" t="str">
        <f>IF(AND($B62&gt;='111'!$N$11,$B62&lt;='111'!$O$11,OR($L62=$O$7,$M62=$O$7)),"x","")</f>
        <v/>
      </c>
      <c r="P62" s="50" t="str">
        <f>IF(AND($L62=$O$7,$B62&lt;'111'!$N$11),"x","")</f>
        <v/>
      </c>
      <c r="Q62" s="50" t="str">
        <f>IF(AND($M62=$O$7,$B62&lt;'111'!$N$11),"x","")</f>
        <v/>
      </c>
      <c r="R62" s="50" t="str">
        <f>IF(ISERROR(FIND('112'!$M$9,G62,1)),"",IF((AND(FIND('112'!$M$9,G62,1)&gt;=1,$B62&gt;='112'!$N$8,$B62&lt;='112'!$O$8,OR($L62='112'!$I$6,$M62='112'!$I$6))),"x",""))</f>
        <v>x</v>
      </c>
      <c r="S62" s="50" t="str">
        <f>IF(ISERROR(FIND('112'!$M$9,G62,1)),"",IF((AND(LEFT(G62,2)=LEFT('112'!$M$9,2),B62&lt;'112'!$N$8,$L62='112'!$I$6)),"x",""))</f>
        <v/>
      </c>
      <c r="T62" s="50" t="str">
        <f>IF(ISERROR(FIND('112'!$M$9,G62,1)),"",IF((AND(RIGHT(G62,2)=RIGHT('112'!$M$9,2),B62&lt;'112'!$N$8,$M62='112'!$I$6)),"x",""))</f>
        <v/>
      </c>
      <c r="U62" s="50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0" t="str">
        <f>IF(OR(TH!L62=TH!$V$7,M62=TH!$V$7),"x","")</f>
        <v>x</v>
      </c>
      <c r="W62" s="50" t="str">
        <f>IF(AND(B62&gt;='IN-NX'!$P$3,B62&lt;='IN-NX'!$Q$3,'IN-NX'!$D$7=D62,OR(LEFT(L62,2)="15",AND(LEFT(M62,2)&lt;&gt;"15",LEFT(M62,2)&lt;&gt;"33"))),"x","")</f>
        <v/>
      </c>
      <c r="X62" s="50" t="str">
        <f>IF(AND(OR(LEFT(TH!L62,2)="15",LEFT(TH!M62,2)="15"),'152-CT'!$J$8=TH!F62),"x","")</f>
        <v/>
      </c>
      <c r="Y62" s="50" t="str">
        <f>IF(AND(OR(LEFT(TH!L62,2)="15",LEFT(TH!M62,2)="15"),TK!$E$7=TH!F62),"x","")</f>
        <v/>
      </c>
      <c r="Z62" s="50" t="str">
        <f>IF(AND(B62&lt;=NKC!$N$8,B62&gt;=NKC!$M$8),"x","")</f>
        <v/>
      </c>
      <c r="AA62" s="845"/>
      <c r="AB62" s="581"/>
      <c r="AC62" s="581"/>
      <c r="AD62" s="581"/>
    </row>
    <row r="63" spans="1:30" s="201" customFormat="1" ht="15.75" customHeight="1">
      <c r="A63" s="846" t="str">
        <f>IF(B63&lt;&gt;"",IF(AND(B63&gt;=_TM1,B63&lt;=_TM2,OR(TH!L63="1111",TH!M63="1111")),TH!D63,""),"")</f>
        <v/>
      </c>
      <c r="B63" s="36">
        <f>IF(C63&lt;&gt;"",MONTH(C63),"")</f>
        <v>10</v>
      </c>
      <c r="C63" s="187">
        <f>E63</f>
        <v>41195</v>
      </c>
      <c r="D63" s="187" t="s">
        <v>742</v>
      </c>
      <c r="E63" s="180">
        <v>41195</v>
      </c>
      <c r="F63" s="185" t="s">
        <v>668</v>
      </c>
      <c r="G63" s="853" t="s">
        <v>669</v>
      </c>
      <c r="H63" s="7" t="s">
        <v>632</v>
      </c>
      <c r="I63" s="249">
        <v>500</v>
      </c>
      <c r="J63" s="249">
        <v>12750</v>
      </c>
      <c r="K63" s="37">
        <f>ROUND(I63*J63,0)</f>
        <v>6375000</v>
      </c>
      <c r="L63" s="190" t="s">
        <v>617</v>
      </c>
      <c r="M63" s="190" t="s">
        <v>8</v>
      </c>
      <c r="N63" s="50" t="str">
        <f>IF(AND('331-CT'!$E$7=TH!H63,OR(L63="331",M63="331")),"331",IF(AND(OR(L63="131",M63="131"),H63='131-CT'!$E$7),"131",""))</f>
        <v>331</v>
      </c>
      <c r="O63" s="50" t="str">
        <f>IF(AND($B63&gt;='111'!$N$11,$B63&lt;='111'!$O$11,OR($L63=$O$7,$M63=$O$7)),"x","")</f>
        <v/>
      </c>
      <c r="P63" s="50" t="str">
        <f>IF(AND($L63=$O$7,$B63&lt;'111'!$N$11),"x","")</f>
        <v/>
      </c>
      <c r="Q63" s="50" t="str">
        <f>IF(AND($M63=$O$7,$B63&lt;'111'!$N$11),"x","")</f>
        <v/>
      </c>
      <c r="R63" s="50" t="str">
        <f>IF(ISERROR(FIND('112'!$M$9,G63,1)),"",IF((AND(FIND('112'!$M$9,G63,1)&gt;=1,$B63&gt;='112'!$N$8,$B63&lt;='112'!$O$8,OR($L63='112'!$I$6,$M63='112'!$I$6))),"x",""))</f>
        <v/>
      </c>
      <c r="S63" s="50" t="str">
        <f>IF(ISERROR(FIND('112'!$M$9,G63,1)),"",IF((AND(LEFT(G63,2)=LEFT('112'!$M$9,2),B63&lt;'112'!$N$8,$L63='112'!$I$6)),"x",""))</f>
        <v/>
      </c>
      <c r="T63" s="50" t="str">
        <f>IF(ISERROR(FIND('112'!$M$9,G63,1)),"",IF((AND(RIGHT(G63,2)=RIGHT('112'!$M$9,2),B63&lt;'112'!$N$8,$M63='112'!$I$6)),"x",""))</f>
        <v/>
      </c>
      <c r="U63" s="50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0" t="str">
        <f>IF(OR(TH!L63=TH!$V$7,M63=TH!$V$7),"x","")</f>
        <v/>
      </c>
      <c r="W63" s="50" t="str">
        <f>IF(AND(B63&gt;='IN-NX'!$P$3,B63&lt;='IN-NX'!$Q$3,'IN-NX'!$D$7=D63,OR(LEFT(L63,2)="15",AND(LEFT(M63,2)&lt;&gt;"15",LEFT(M63,2)&lt;&gt;"33"))),"x","")</f>
        <v/>
      </c>
      <c r="X63" s="50" t="str">
        <f>IF(AND(OR(LEFT(TH!L63,2)="15",LEFT(TH!M63,2)="15"),'152-CT'!$J$8=TH!F63),"x","")</f>
        <v/>
      </c>
      <c r="Y63" s="50" t="str">
        <f>IF(AND(OR(LEFT(TH!L63,2)="15",LEFT(TH!M63,2)="15"),TK!$E$7=TH!F63),"x","")</f>
        <v/>
      </c>
      <c r="Z63" s="50" t="str">
        <f>IF(AND(B63&lt;=NKC!$N$8,B63&gt;=NKC!$M$8),"x","")</f>
        <v/>
      </c>
      <c r="AA63" s="845"/>
      <c r="AB63" s="581"/>
    </row>
    <row r="64" spans="1:30" s="201" customFormat="1" ht="15.75" customHeight="1">
      <c r="A64" s="846" t="str">
        <f>IF(B64&lt;&gt;"",IF(AND(B64&gt;=_TM1,B64&lt;=_TM2,OR(TH!L64="1111",TH!M64="1111")),TH!D64,""),"")</f>
        <v/>
      </c>
      <c r="B64" s="36">
        <f>IF(C64&lt;&gt;"",MONTH(C64),"")</f>
        <v>10</v>
      </c>
      <c r="C64" s="187">
        <f>E64</f>
        <v>41195</v>
      </c>
      <c r="D64" s="187" t="s">
        <v>742</v>
      </c>
      <c r="E64" s="180">
        <v>41195</v>
      </c>
      <c r="F64" s="185" t="s">
        <v>634</v>
      </c>
      <c r="G64" s="853" t="s">
        <v>669</v>
      </c>
      <c r="H64" s="7" t="s">
        <v>632</v>
      </c>
      <c r="I64" s="249"/>
      <c r="J64" s="249"/>
      <c r="K64" s="37">
        <v>637500</v>
      </c>
      <c r="L64" s="190" t="s">
        <v>9</v>
      </c>
      <c r="M64" s="190" t="s">
        <v>8</v>
      </c>
      <c r="N64" s="50" t="str">
        <f>IF(AND('331-CT'!$E$7=TH!H64,OR(L64="331",M64="331")),"331",IF(AND(OR(L64="131",M64="131"),H64='131-CT'!$E$7),"131",""))</f>
        <v>331</v>
      </c>
      <c r="O64" s="50" t="str">
        <f>IF(AND($B64&gt;='111'!$N$11,$B64&lt;='111'!$O$11,OR($L64=$O$7,$M64=$O$7)),"x","")</f>
        <v/>
      </c>
      <c r="P64" s="50" t="str">
        <f>IF(AND($L64=$O$7,$B64&lt;'111'!$N$11),"x","")</f>
        <v/>
      </c>
      <c r="Q64" s="50" t="str">
        <f>IF(AND($M64=$O$7,$B64&lt;'111'!$N$11),"x","")</f>
        <v/>
      </c>
      <c r="R64" s="50" t="str">
        <f>IF(ISERROR(FIND('112'!$M$9,G64,1)),"",IF((AND(FIND('112'!$M$9,G64,1)&gt;=1,$B64&gt;='112'!$N$8,$B64&lt;='112'!$O$8,OR($L64='112'!$I$6,$M64='112'!$I$6))),"x",""))</f>
        <v/>
      </c>
      <c r="S64" s="50" t="str">
        <f>IF(ISERROR(FIND('112'!$M$9,G64,1)),"",IF((AND(LEFT(G64,2)=LEFT('112'!$M$9,2),B64&lt;'112'!$N$8,$L64='112'!$I$6)),"x",""))</f>
        <v/>
      </c>
      <c r="T64" s="50" t="str">
        <f>IF(ISERROR(FIND('112'!$M$9,G64,1)),"",IF((AND(RIGHT(G64,2)=RIGHT('112'!$M$9,2),B64&lt;'112'!$N$8,$M64='112'!$I$6)),"x",""))</f>
        <v/>
      </c>
      <c r="U64" s="50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0" t="str">
        <f>IF(OR(TH!L64=TH!$V$7,M64=TH!$V$7),"x","")</f>
        <v/>
      </c>
      <c r="W64" s="50" t="str">
        <f>IF(AND(B64&gt;='IN-NX'!$P$3,B64&lt;='IN-NX'!$Q$3,'IN-NX'!$D$7=D64,OR(LEFT(L64,2)="15",AND(LEFT(M64,2)&lt;&gt;"15",LEFT(M64,2)&lt;&gt;"33"))),"x","")</f>
        <v/>
      </c>
      <c r="X64" s="50" t="str">
        <f>IF(AND(OR(LEFT(TH!L64,2)="15",LEFT(TH!M64,2)="15"),'152-CT'!$J$8=TH!F64),"x","")</f>
        <v/>
      </c>
      <c r="Y64" s="50" t="str">
        <f>IF(AND(OR(LEFT(TH!L64,2)="15",LEFT(TH!M64,2)="15"),TK!$E$7=TH!F64),"x","")</f>
        <v/>
      </c>
      <c r="Z64" s="50" t="str">
        <f>IF(AND(B64&lt;=NKC!$N$8,B64&gt;=NKC!$M$8),"x","")</f>
        <v/>
      </c>
      <c r="AA64" s="845"/>
      <c r="AB64" s="581"/>
    </row>
    <row r="65" spans="1:30" s="201" customFormat="1" ht="15.75" customHeight="1">
      <c r="A65" s="846" t="str">
        <f>IF(B65&lt;&gt;"",IF(AND(B65&gt;=_TM1,B65&lt;=_TM2,OR(TH!L65="1111",TH!M65="1111")),TH!D65,""),"")</f>
        <v>C01</v>
      </c>
      <c r="B65" s="36">
        <f>IF(C65&lt;&gt;"",MONTH(C65),"")</f>
        <v>10</v>
      </c>
      <c r="C65" s="187">
        <f>E65</f>
        <v>41195</v>
      </c>
      <c r="D65" s="187" t="s">
        <v>731</v>
      </c>
      <c r="E65" s="180">
        <v>41195</v>
      </c>
      <c r="F65" s="185" t="s">
        <v>730</v>
      </c>
      <c r="G65" s="853" t="s">
        <v>669</v>
      </c>
      <c r="H65" s="7" t="s">
        <v>632</v>
      </c>
      <c r="I65" s="249"/>
      <c r="J65" s="249"/>
      <c r="K65" s="37">
        <v>7012500</v>
      </c>
      <c r="L65" s="190" t="s">
        <v>8</v>
      </c>
      <c r="M65" s="190" t="s">
        <v>47</v>
      </c>
      <c r="N65" s="50" t="str">
        <f>IF(AND('331-CT'!$E$7=TH!H65,OR(L65="331",M65="331")),"331",IF(AND(OR(L65="131",M65="131"),H65='131-CT'!$E$7),"131",""))</f>
        <v>331</v>
      </c>
      <c r="O65" s="50" t="str">
        <f>IF(AND($B65&gt;='111'!$N$11,$B65&lt;='111'!$O$11,OR($L65=$O$7,$M65=$O$7)),"x","")</f>
        <v>x</v>
      </c>
      <c r="P65" s="50" t="str">
        <f>IF(AND($L65=$O$7,$B65&lt;'111'!$N$11),"x","")</f>
        <v/>
      </c>
      <c r="Q65" s="50" t="str">
        <f>IF(AND($M65=$O$7,$B65&lt;'111'!$N$11),"x","")</f>
        <v/>
      </c>
      <c r="R65" s="50" t="str">
        <f>IF(ISERROR(FIND('112'!$M$9,G65,1)),"",IF((AND(FIND('112'!$M$9,G65,1)&gt;=1,$B65&gt;='112'!$N$8,$B65&lt;='112'!$O$8,OR($L65='112'!$I$6,$M65='112'!$I$6))),"x",""))</f>
        <v/>
      </c>
      <c r="S65" s="50" t="str">
        <f>IF(ISERROR(FIND('112'!$M$9,G65,1)),"",IF((AND(LEFT(G65,2)=LEFT('112'!$M$9,2),B65&lt;'112'!$N$8,$L65='112'!$I$6)),"x",""))</f>
        <v/>
      </c>
      <c r="T65" s="50" t="str">
        <f>IF(ISERROR(FIND('112'!$M$9,G65,1)),"",IF((AND(RIGHT(G65,2)=RIGHT('112'!$M$9,2),B65&lt;'112'!$N$8,$M65='112'!$I$6)),"x",""))</f>
        <v/>
      </c>
      <c r="U65" s="50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0" t="str">
        <f>IF(OR(TH!L65=TH!$V$7,M65=TH!$V$7),"x","")</f>
        <v/>
      </c>
      <c r="W65" s="50" t="str">
        <f>IF(AND(B65&gt;='IN-NX'!$P$3,B65&lt;='IN-NX'!$Q$3,'IN-NX'!$D$7=D65,OR(LEFT(L65,2)="15",AND(LEFT(M65,2)&lt;&gt;"15",LEFT(M65,2)&lt;&gt;"33"))),"x","")</f>
        <v/>
      </c>
      <c r="X65" s="50" t="str">
        <f>IF(AND(OR(LEFT(TH!L65,2)="15",LEFT(TH!M65,2)="15"),'152-CT'!$J$8=TH!F65),"x","")</f>
        <v/>
      </c>
      <c r="Y65" s="50" t="str">
        <f>IF(AND(OR(LEFT(TH!L65,2)="15",LEFT(TH!M65,2)="15"),TK!$E$7=TH!F65),"x","")</f>
        <v/>
      </c>
      <c r="Z65" s="50" t="str">
        <f>IF(AND(B65&lt;=NKC!$N$8,B65&gt;=NKC!$M$8),"x","")</f>
        <v/>
      </c>
      <c r="AA65" s="845"/>
      <c r="AB65" s="581"/>
    </row>
    <row r="66" spans="1:30" s="201" customFormat="1" ht="15.75" customHeight="1">
      <c r="A66" s="846" t="str">
        <f>IF(B66&lt;&gt;"",IF(AND(B66&gt;=_TM1,B66&lt;=_TM2,OR(TH!L66="1111",TH!M66="1111")),TH!D66,""),"")</f>
        <v/>
      </c>
      <c r="B66" s="36">
        <f>IF(C66&lt;&gt;"",MONTH(C66),"")</f>
        <v>10</v>
      </c>
      <c r="C66" s="187">
        <f>E66</f>
        <v>41198</v>
      </c>
      <c r="D66" s="180" t="s">
        <v>715</v>
      </c>
      <c r="E66" s="180">
        <v>41198</v>
      </c>
      <c r="F66" s="185" t="s">
        <v>718</v>
      </c>
      <c r="G66" s="853" t="s">
        <v>616</v>
      </c>
      <c r="H66" s="189" t="s">
        <v>724</v>
      </c>
      <c r="I66" s="249"/>
      <c r="J66" s="249"/>
      <c r="K66" s="589">
        <v>22732212</v>
      </c>
      <c r="L66" s="590" t="s">
        <v>24</v>
      </c>
      <c r="M66" s="590" t="s">
        <v>269</v>
      </c>
      <c r="N66" s="50" t="str">
        <f>IF(AND('331-CT'!$E$7=TH!H66,OR(L66="331",M66="331")),"331",IF(AND(OR(L66="131",M66="131"),H66='131-CT'!$E$7),"131",""))</f>
        <v/>
      </c>
      <c r="O66" s="50" t="str">
        <f>IF(AND($B66&gt;='111'!$N$11,$B66&lt;='111'!$O$11,OR($L66=$O$7,$M66=$O$7)),"x","")</f>
        <v/>
      </c>
      <c r="P66" s="50" t="str">
        <f>IF(AND($L66=$O$7,$B66&lt;'111'!$N$11),"x","")</f>
        <v/>
      </c>
      <c r="Q66" s="50" t="str">
        <f>IF(AND($M66=$O$7,$B66&lt;'111'!$N$11),"x","")</f>
        <v/>
      </c>
      <c r="R66" s="50" t="str">
        <f>IF(ISERROR(FIND('112'!$M$9,G66,1)),"",IF((AND(FIND('112'!$M$9,G66,1)&gt;=1,$B66&gt;='112'!$N$8,$B66&lt;='112'!$O$8,OR($L66='112'!$I$6,$M66='112'!$I$6))),"x",""))</f>
        <v>x</v>
      </c>
      <c r="S66" s="50" t="str">
        <f>IF(ISERROR(FIND('112'!$M$9,G66,1)),"",IF((AND(LEFT(G66,2)=LEFT('112'!$M$9,2),B66&lt;'112'!$N$8,$L66='112'!$I$6)),"x",""))</f>
        <v/>
      </c>
      <c r="T66" s="50" t="str">
        <f>IF(ISERROR(FIND('112'!$M$9,G66,1)),"",IF((AND(RIGHT(G66,2)=RIGHT('112'!$M$9,2),B66&lt;'112'!$N$8,$M66='112'!$I$6)),"x",""))</f>
        <v/>
      </c>
      <c r="U66" s="50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0" t="str">
        <f>IF(OR(TH!L66=TH!$V$7,M66=TH!$V$7),"x","")</f>
        <v/>
      </c>
      <c r="W66" s="50" t="str">
        <f>IF(AND(B66&gt;='IN-NX'!$P$3,B66&lt;='IN-NX'!$Q$3,'IN-NX'!$D$7=D66,OR(LEFT(L66,2)="15",AND(LEFT(M66,2)&lt;&gt;"15",LEFT(M66,2)&lt;&gt;"33"))),"x","")</f>
        <v/>
      </c>
      <c r="X66" s="50" t="str">
        <f>IF(AND(OR(LEFT(TH!L66,2)="15",LEFT(TH!M66,2)="15"),'152-CT'!$J$8=TH!F66),"x","")</f>
        <v/>
      </c>
      <c r="Y66" s="50" t="str">
        <f>IF(AND(OR(LEFT(TH!L66,2)="15",LEFT(TH!M66,2)="15"),TK!$E$7=TH!F66),"x","")</f>
        <v/>
      </c>
      <c r="Z66" s="50" t="str">
        <f>IF(AND(B66&lt;=NKC!$N$8,B66&gt;=NKC!$M$8),"x","")</f>
        <v/>
      </c>
      <c r="AA66" s="845"/>
      <c r="AB66" s="581"/>
      <c r="AC66" s="581"/>
      <c r="AD66" s="581"/>
    </row>
    <row r="67" spans="1:30" s="201" customFormat="1" ht="15.75" customHeight="1">
      <c r="A67" s="846" t="str">
        <f>IF(B67&lt;&gt;"",IF(AND(B67&gt;=_TM1,B67&lt;=_TM2,OR(TH!L67="1111",TH!M67="1111")),TH!D67,""),"")</f>
        <v>C02</v>
      </c>
      <c r="B67" s="36">
        <f>IF(C67&lt;&gt;"",MONTH(C67),"")</f>
        <v>10</v>
      </c>
      <c r="C67" s="187">
        <f>E67</f>
        <v>41199</v>
      </c>
      <c r="D67" s="187" t="s">
        <v>732</v>
      </c>
      <c r="E67" s="180">
        <v>41199</v>
      </c>
      <c r="F67" s="185" t="s">
        <v>650</v>
      </c>
      <c r="G67" s="853" t="s">
        <v>652</v>
      </c>
      <c r="H67" s="7" t="s">
        <v>653</v>
      </c>
      <c r="I67" s="249"/>
      <c r="J67" s="249"/>
      <c r="K67" s="37">
        <v>366032</v>
      </c>
      <c r="L67" s="190" t="s">
        <v>17</v>
      </c>
      <c r="M67" s="190" t="s">
        <v>47</v>
      </c>
      <c r="N67" s="50" t="str">
        <f>IF(AND('331-CT'!$E$7=TH!H67,OR(L67="331",M67="331")),"331",IF(AND(OR(L67="131",M67="131"),H67='131-CT'!$E$7),"131",""))</f>
        <v/>
      </c>
      <c r="O67" s="50" t="str">
        <f>IF(AND($B67&gt;='111'!$N$11,$B67&lt;='111'!$O$11,OR($L67=$O$7,$M67=$O$7)),"x","")</f>
        <v>x</v>
      </c>
      <c r="P67" s="50" t="str">
        <f>IF(AND($L67=$O$7,$B67&lt;'111'!$N$11),"x","")</f>
        <v/>
      </c>
      <c r="Q67" s="50" t="str">
        <f>IF(AND($M67=$O$7,$B67&lt;'111'!$N$11),"x","")</f>
        <v/>
      </c>
      <c r="R67" s="50" t="str">
        <f>IF(ISERROR(FIND('112'!$M$9,G67,1)),"",IF((AND(FIND('112'!$M$9,G67,1)&gt;=1,$B67&gt;='112'!$N$8,$B67&lt;='112'!$O$8,OR($L67='112'!$I$6,$M67='112'!$I$6))),"x",""))</f>
        <v/>
      </c>
      <c r="S67" s="50" t="str">
        <f>IF(ISERROR(FIND('112'!$M$9,G67,1)),"",IF((AND(LEFT(G67,2)=LEFT('112'!$M$9,2),B67&lt;'112'!$N$8,$L67='112'!$I$6)),"x",""))</f>
        <v/>
      </c>
      <c r="T67" s="50" t="str">
        <f>IF(ISERROR(FIND('112'!$M$9,G67,1)),"",IF((AND(RIGHT(G67,2)=RIGHT('112'!$M$9,2),B67&lt;'112'!$N$8,$M67='112'!$I$6)),"x",""))</f>
        <v/>
      </c>
      <c r="U67" s="50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0" t="str">
        <f>IF(OR(TH!L67=TH!$V$7,M67=TH!$V$7),"x","")</f>
        <v/>
      </c>
      <c r="W67" s="50" t="str">
        <f>IF(AND(B67&gt;='IN-NX'!$P$3,B67&lt;='IN-NX'!$Q$3,'IN-NX'!$D$7=D67,OR(LEFT(L67,2)="15",AND(LEFT(M67,2)&lt;&gt;"15",LEFT(M67,2)&lt;&gt;"33"))),"x","")</f>
        <v/>
      </c>
      <c r="X67" s="50" t="str">
        <f>IF(AND(OR(LEFT(TH!L67,2)="15",LEFT(TH!M67,2)="15"),'152-CT'!$J$8=TH!F67),"x","")</f>
        <v/>
      </c>
      <c r="Y67" s="50" t="str">
        <f>IF(AND(OR(LEFT(TH!L67,2)="15",LEFT(TH!M67,2)="15"),TK!$E$7=TH!F67),"x","")</f>
        <v/>
      </c>
      <c r="Z67" s="50" t="str">
        <f>IF(AND(B67&lt;=NKC!$N$8,B67&gt;=NKC!$M$8),"x","")</f>
        <v/>
      </c>
      <c r="AA67" s="845"/>
      <c r="AB67" s="581"/>
    </row>
    <row r="68" spans="1:30" s="201" customFormat="1" ht="15.75" customHeight="1">
      <c r="A68" s="846" t="str">
        <f>IF(B68&lt;&gt;"",IF(AND(B68&gt;=_TM1,B68&lt;=_TM2,OR(TH!L68="1111",TH!M68="1111")),TH!D68,""),"")</f>
        <v>C02</v>
      </c>
      <c r="B68" s="36">
        <f>IF(C68&lt;&gt;"",MONTH(C68),"")</f>
        <v>10</v>
      </c>
      <c r="C68" s="187">
        <f>E68</f>
        <v>41199</v>
      </c>
      <c r="D68" s="187" t="s">
        <v>732</v>
      </c>
      <c r="E68" s="180">
        <v>41199</v>
      </c>
      <c r="F68" s="185" t="s">
        <v>651</v>
      </c>
      <c r="G68" s="853" t="s">
        <v>652</v>
      </c>
      <c r="H68" s="7" t="s">
        <v>653</v>
      </c>
      <c r="I68" s="249"/>
      <c r="J68" s="249"/>
      <c r="K68" s="37">
        <v>750000</v>
      </c>
      <c r="L68" s="190" t="s">
        <v>63</v>
      </c>
      <c r="M68" s="190" t="s">
        <v>47</v>
      </c>
      <c r="N68" s="50" t="str">
        <f>IF(AND('331-CT'!$E$7=TH!H68,OR(L68="331",M68="331")),"331",IF(AND(OR(L68="131",M68="131"),H68='131-CT'!$E$7),"131",""))</f>
        <v/>
      </c>
      <c r="O68" s="50" t="str">
        <f>IF(AND($B68&gt;='111'!$N$11,$B68&lt;='111'!$O$11,OR($L68=$O$7,$M68=$O$7)),"x","")</f>
        <v>x</v>
      </c>
      <c r="P68" s="50" t="str">
        <f>IF(AND($L68=$O$7,$B68&lt;'111'!$N$11),"x","")</f>
        <v/>
      </c>
      <c r="Q68" s="50" t="str">
        <f>IF(AND($M68=$O$7,$B68&lt;'111'!$N$11),"x","")</f>
        <v/>
      </c>
      <c r="R68" s="50" t="str">
        <f>IF(ISERROR(FIND('112'!$M$9,G68,1)),"",IF((AND(FIND('112'!$M$9,G68,1)&gt;=1,$B68&gt;='112'!$N$8,$B68&lt;='112'!$O$8,OR($L68='112'!$I$6,$M68='112'!$I$6))),"x",""))</f>
        <v/>
      </c>
      <c r="S68" s="50" t="str">
        <f>IF(ISERROR(FIND('112'!$M$9,G68,1)),"",IF((AND(LEFT(G68,2)=LEFT('112'!$M$9,2),B68&lt;'112'!$N$8,$L68='112'!$I$6)),"x",""))</f>
        <v/>
      </c>
      <c r="T68" s="50" t="str">
        <f>IF(ISERROR(FIND('112'!$M$9,G68,1)),"",IF((AND(RIGHT(G68,2)=RIGHT('112'!$M$9,2),B68&lt;'112'!$N$8,$M68='112'!$I$6)),"x",""))</f>
        <v/>
      </c>
      <c r="U68" s="50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0" t="str">
        <f>IF(OR(TH!L68=TH!$V$7,M68=TH!$V$7),"x","")</f>
        <v/>
      </c>
      <c r="W68" s="50" t="str">
        <f>IF(AND(B68&gt;='IN-NX'!$P$3,B68&lt;='IN-NX'!$Q$3,'IN-NX'!$D$7=D68,OR(LEFT(L68,2)="15",AND(LEFT(M68,2)&lt;&gt;"15",LEFT(M68,2)&lt;&gt;"33"))),"x","")</f>
        <v/>
      </c>
      <c r="X68" s="50" t="str">
        <f>IF(AND(OR(LEFT(TH!L68,2)="15",LEFT(TH!M68,2)="15"),'152-CT'!$J$8=TH!F68),"x","")</f>
        <v/>
      </c>
      <c r="Y68" s="50" t="str">
        <f>IF(AND(OR(LEFT(TH!L68,2)="15",LEFT(TH!M68,2)="15"),TK!$E$7=TH!F68),"x","")</f>
        <v/>
      </c>
      <c r="Z68" s="50" t="str">
        <f>IF(AND(B68&lt;=NKC!$N$8,B68&gt;=NKC!$M$8),"x","")</f>
        <v/>
      </c>
      <c r="AA68" s="845"/>
      <c r="AB68" s="581"/>
    </row>
    <row r="69" spans="1:30" s="201" customFormat="1" ht="15.75" customHeight="1">
      <c r="A69" s="846" t="str">
        <f>IF(B69&lt;&gt;"",IF(AND(B69&gt;=_TM1,B69&lt;=_TM2,OR(TH!L69="1111",TH!M69="1111")),TH!D69,""),"")</f>
        <v/>
      </c>
      <c r="B69" s="36">
        <f>IF(C69&lt;&gt;"",MONTH(C69),"")</f>
        <v>10</v>
      </c>
      <c r="C69" s="187">
        <f>E69</f>
        <v>41199</v>
      </c>
      <c r="D69" s="187" t="s">
        <v>348</v>
      </c>
      <c r="E69" s="180">
        <v>41199</v>
      </c>
      <c r="F69" s="185" t="s">
        <v>654</v>
      </c>
      <c r="G69" s="853"/>
      <c r="H69" s="7" t="s">
        <v>653</v>
      </c>
      <c r="I69" s="249"/>
      <c r="J69" s="249"/>
      <c r="K69" s="37">
        <v>750000</v>
      </c>
      <c r="L69" s="190" t="s">
        <v>83</v>
      </c>
      <c r="M69" s="190" t="s">
        <v>63</v>
      </c>
      <c r="N69" s="50" t="str">
        <f>IF(AND('331-CT'!$E$7=TH!H69,OR(L69="331",M69="331")),"331",IF(AND(OR(L69="131",M69="131"),H69='131-CT'!$E$7),"131",""))</f>
        <v/>
      </c>
      <c r="O69" s="50" t="str">
        <f>IF(AND($B69&gt;='111'!$N$11,$B69&lt;='111'!$O$11,OR($L69=$O$7,$M69=$O$7)),"x","")</f>
        <v/>
      </c>
      <c r="P69" s="50" t="str">
        <f>IF(AND($L69=$O$7,$B69&lt;'111'!$N$11),"x","")</f>
        <v/>
      </c>
      <c r="Q69" s="50" t="str">
        <f>IF(AND($M69=$O$7,$B69&lt;'111'!$N$11),"x","")</f>
        <v/>
      </c>
      <c r="R69" s="50" t="str">
        <f>IF(ISERROR(FIND('112'!$M$9,G69,1)),"",IF((AND(FIND('112'!$M$9,G69,1)&gt;=1,$B69&gt;='112'!$N$8,$B69&lt;='112'!$O$8,OR($L69='112'!$I$6,$M69='112'!$I$6))),"x",""))</f>
        <v/>
      </c>
      <c r="S69" s="50" t="str">
        <f>IF(ISERROR(FIND('112'!$M$9,G69,1)),"",IF((AND(LEFT(G69,2)=LEFT('112'!$M$9,2),B69&lt;'112'!$N$8,$L69='112'!$I$6)),"x",""))</f>
        <v/>
      </c>
      <c r="T69" s="50" t="str">
        <f>IF(ISERROR(FIND('112'!$M$9,G69,1)),"",IF((AND(RIGHT(G69,2)=RIGHT('112'!$M$9,2),B69&lt;'112'!$N$8,$M69='112'!$I$6)),"x",""))</f>
        <v/>
      </c>
      <c r="U69" s="50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0" t="str">
        <f>IF(OR(TH!L69=TH!$V$7,M69=TH!$V$7),"x","")</f>
        <v>x</v>
      </c>
      <c r="W69" s="50" t="str">
        <f>IF(AND(B69&gt;='IN-NX'!$P$3,B69&lt;='IN-NX'!$Q$3,'IN-NX'!$D$7=D69,OR(LEFT(L69,2)="15",AND(LEFT(M69,2)&lt;&gt;"15",LEFT(M69,2)&lt;&gt;"33"))),"x","")</f>
        <v/>
      </c>
      <c r="X69" s="50" t="str">
        <f>IF(AND(OR(LEFT(TH!L69,2)="15",LEFT(TH!M69,2)="15"),'152-CT'!$J$8=TH!F69),"x","")</f>
        <v/>
      </c>
      <c r="Y69" s="50" t="str">
        <f>IF(AND(OR(LEFT(TH!L69,2)="15",LEFT(TH!M69,2)="15"),TK!$E$7=TH!F69),"x","")</f>
        <v/>
      </c>
      <c r="Z69" s="50" t="str">
        <f>IF(AND(B69&lt;=NKC!$N$8,B69&gt;=NKC!$M$8),"x","")</f>
        <v/>
      </c>
      <c r="AA69" s="845"/>
      <c r="AB69" s="581"/>
    </row>
    <row r="70" spans="1:30" s="201" customFormat="1" ht="15.75" customHeight="1">
      <c r="A70" s="846" t="str">
        <f>IF(B70&lt;&gt;"",IF(AND(B70&gt;=_TM1,B70&lt;=_TM2,OR(TH!L70="1111",TH!M70="1111")),TH!D70,""),"")</f>
        <v>C03</v>
      </c>
      <c r="B70" s="36">
        <f>IF(C70&lt;&gt;"",MONTH(C70),"")</f>
        <v>10</v>
      </c>
      <c r="C70" s="187">
        <f>E70</f>
        <v>41201</v>
      </c>
      <c r="D70" s="187" t="s">
        <v>733</v>
      </c>
      <c r="E70" s="180">
        <v>41201</v>
      </c>
      <c r="F70" s="188" t="s">
        <v>659</v>
      </c>
      <c r="G70" s="853" t="s">
        <v>660</v>
      </c>
      <c r="H70" s="7" t="s">
        <v>658</v>
      </c>
      <c r="I70" s="249"/>
      <c r="J70" s="249"/>
      <c r="K70" s="37">
        <v>272000</v>
      </c>
      <c r="L70" s="190" t="s">
        <v>83</v>
      </c>
      <c r="M70" s="190" t="s">
        <v>47</v>
      </c>
      <c r="N70" s="50" t="str">
        <f>IF(AND('331-CT'!$E$7=TH!H70,OR(L70="331",M70="331")),"331",IF(AND(OR(L70="131",M70="131"),H70='131-CT'!$E$7),"131",""))</f>
        <v/>
      </c>
      <c r="O70" s="50" t="str">
        <f>IF(AND($B70&gt;='111'!$N$11,$B70&lt;='111'!$O$11,OR($L70=$O$7,$M70=$O$7)),"x","")</f>
        <v>x</v>
      </c>
      <c r="P70" s="50" t="str">
        <f>IF(AND($L70=$O$7,$B70&lt;'111'!$N$11),"x","")</f>
        <v/>
      </c>
      <c r="Q70" s="50" t="str">
        <f>IF(AND($M70=$O$7,$B70&lt;'111'!$N$11),"x","")</f>
        <v/>
      </c>
      <c r="R70" s="50" t="str">
        <f>IF(ISERROR(FIND('112'!$M$9,G70,1)),"",IF((AND(FIND('112'!$M$9,G70,1)&gt;=1,$B70&gt;='112'!$N$8,$B70&lt;='112'!$O$8,OR($L70='112'!$I$6,$M70='112'!$I$6))),"x",""))</f>
        <v/>
      </c>
      <c r="S70" s="50" t="str">
        <f>IF(ISERROR(FIND('112'!$M$9,G70,1)),"",IF((AND(LEFT(G70,2)=LEFT('112'!$M$9,2),B70&lt;'112'!$N$8,$L70='112'!$I$6)),"x",""))</f>
        <v/>
      </c>
      <c r="T70" s="50" t="str">
        <f>IF(ISERROR(FIND('112'!$M$9,G70,1)),"",IF((AND(RIGHT(G70,2)=RIGHT('112'!$M$9,2),B70&lt;'112'!$N$8,$M70='112'!$I$6)),"x",""))</f>
        <v/>
      </c>
      <c r="U70" s="50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0" t="str">
        <f>IF(OR(TH!L70=TH!$V$7,M70=TH!$V$7),"x","")</f>
        <v>x</v>
      </c>
      <c r="W70" s="50" t="str">
        <f>IF(AND(B70&gt;='IN-NX'!$P$3,B70&lt;='IN-NX'!$Q$3,'IN-NX'!$D$7=D70,OR(LEFT(L70,2)="15",AND(LEFT(M70,2)&lt;&gt;"15",LEFT(M70,2)&lt;&gt;"33"))),"x","")</f>
        <v/>
      </c>
      <c r="X70" s="50" t="str">
        <f>IF(AND(OR(LEFT(TH!L70,2)="15",LEFT(TH!M70,2)="15"),'152-CT'!$J$8=TH!F70),"x","")</f>
        <v/>
      </c>
      <c r="Y70" s="50" t="str">
        <f>IF(AND(OR(LEFT(TH!L70,2)="15",LEFT(TH!M70,2)="15"),TK!$E$7=TH!F70),"x","")</f>
        <v/>
      </c>
      <c r="Z70" s="50" t="str">
        <f>IF(AND(B70&lt;=NKC!$N$8,B70&gt;=NKC!$M$8),"x","")</f>
        <v/>
      </c>
      <c r="AA70" s="845"/>
      <c r="AB70" s="581"/>
    </row>
    <row r="71" spans="1:30" s="201" customFormat="1" ht="15.75" customHeight="1">
      <c r="A71" s="846" t="str">
        <f>IF(B71&lt;&gt;"",IF(AND(B71&gt;=_TM1,B71&lt;=_TM2,OR(TH!L71="1111",TH!M71="1111")),TH!D71,""),"")</f>
        <v/>
      </c>
      <c r="B71" s="36">
        <f>IF(C71&lt;&gt;"",MONTH(C71),"")</f>
        <v>10</v>
      </c>
      <c r="C71" s="187">
        <f>E71</f>
        <v>41201</v>
      </c>
      <c r="D71" s="187" t="s">
        <v>744</v>
      </c>
      <c r="E71" s="180">
        <v>41201</v>
      </c>
      <c r="F71" s="185" t="s">
        <v>638</v>
      </c>
      <c r="G71" s="853" t="s">
        <v>670</v>
      </c>
      <c r="H71" s="7" t="s">
        <v>632</v>
      </c>
      <c r="I71" s="249">
        <v>500</v>
      </c>
      <c r="J71" s="249">
        <v>11622</v>
      </c>
      <c r="K71" s="37">
        <f>ROUND(I71*J71,0)</f>
        <v>5811000</v>
      </c>
      <c r="L71" s="190" t="s">
        <v>617</v>
      </c>
      <c r="M71" s="190" t="s">
        <v>8</v>
      </c>
      <c r="N71" s="50" t="str">
        <f>IF(AND('331-CT'!$E$7=TH!H71,OR(L71="331",M71="331")),"331",IF(AND(OR(L71="131",M71="131"),H71='131-CT'!$E$7),"131",""))</f>
        <v>331</v>
      </c>
      <c r="O71" s="50" t="str">
        <f>IF(AND($B71&gt;='111'!$N$11,$B71&lt;='111'!$O$11,OR($L71=$O$7,$M71=$O$7)),"x","")</f>
        <v/>
      </c>
      <c r="P71" s="50" t="str">
        <f>IF(AND($L71=$O$7,$B71&lt;'111'!$N$11),"x","")</f>
        <v/>
      </c>
      <c r="Q71" s="50" t="str">
        <f>IF(AND($M71=$O$7,$B71&lt;'111'!$N$11),"x","")</f>
        <v/>
      </c>
      <c r="R71" s="50" t="str">
        <f>IF(ISERROR(FIND('112'!$M$9,G71,1)),"",IF((AND(FIND('112'!$M$9,G71,1)&gt;=1,$B71&gt;='112'!$N$8,$B71&lt;='112'!$O$8,OR($L71='112'!$I$6,$M71='112'!$I$6))),"x",""))</f>
        <v/>
      </c>
      <c r="S71" s="50" t="str">
        <f>IF(ISERROR(FIND('112'!$M$9,G71,1)),"",IF((AND(LEFT(G71,2)=LEFT('112'!$M$9,2),B71&lt;'112'!$N$8,$L71='112'!$I$6)),"x",""))</f>
        <v/>
      </c>
      <c r="T71" s="50" t="str">
        <f>IF(ISERROR(FIND('112'!$M$9,G71,1)),"",IF((AND(RIGHT(G71,2)=RIGHT('112'!$M$9,2),B71&lt;'112'!$N$8,$M71='112'!$I$6)),"x",""))</f>
        <v/>
      </c>
      <c r="U71" s="50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0" t="str">
        <f>IF(OR(TH!L71=TH!$V$7,M71=TH!$V$7),"x","")</f>
        <v/>
      </c>
      <c r="W71" s="50" t="str">
        <f>IF(AND(B71&gt;='IN-NX'!$P$3,B71&lt;='IN-NX'!$Q$3,'IN-NX'!$D$7=D71,OR(LEFT(L71,2)="15",AND(LEFT(M71,2)&lt;&gt;"15",LEFT(M71,2)&lt;&gt;"33"))),"x","")</f>
        <v/>
      </c>
      <c r="X71" s="50" t="str">
        <f>IF(AND(OR(LEFT(TH!L71,2)="15",LEFT(TH!M71,2)="15"),'152-CT'!$J$8=TH!F71),"x","")</f>
        <v/>
      </c>
      <c r="Y71" s="50" t="str">
        <f>IF(AND(OR(LEFT(TH!L71,2)="15",LEFT(TH!M71,2)="15"),TK!$E$7=TH!F71),"x","")</f>
        <v/>
      </c>
      <c r="Z71" s="50" t="str">
        <f>IF(AND(B71&lt;=NKC!$N$8,B71&gt;=NKC!$M$8),"x","")</f>
        <v/>
      </c>
      <c r="AA71" s="845"/>
      <c r="AB71" s="581"/>
    </row>
    <row r="72" spans="1:30" s="201" customFormat="1" ht="15.75" customHeight="1">
      <c r="A72" s="846" t="str">
        <f>IF(B72&lt;&gt;"",IF(AND(B72&gt;=_TM1,B72&lt;=_TM2,OR(TH!L72="1111",TH!M72="1111")),TH!D72,""),"")</f>
        <v/>
      </c>
      <c r="B72" s="36">
        <f>IF(C72&lt;&gt;"",MONTH(C72),"")</f>
        <v>10</v>
      </c>
      <c r="C72" s="187">
        <f>E72</f>
        <v>41201</v>
      </c>
      <c r="D72" s="187" t="s">
        <v>744</v>
      </c>
      <c r="E72" s="180">
        <v>41201</v>
      </c>
      <c r="F72" s="185" t="s">
        <v>671</v>
      </c>
      <c r="G72" s="853" t="s">
        <v>670</v>
      </c>
      <c r="H72" s="7" t="s">
        <v>632</v>
      </c>
      <c r="I72" s="249">
        <v>500</v>
      </c>
      <c r="J72" s="249">
        <v>8556</v>
      </c>
      <c r="K72" s="37">
        <f>ROUND(I72*J72,0)</f>
        <v>4278000</v>
      </c>
      <c r="L72" s="190" t="s">
        <v>617</v>
      </c>
      <c r="M72" s="190" t="s">
        <v>8</v>
      </c>
      <c r="N72" s="50" t="str">
        <f>IF(AND('331-CT'!$E$7=TH!H72,OR(L72="331",M72="331")),"331",IF(AND(OR(L72="131",M72="131"),H72='131-CT'!$E$7),"131",""))</f>
        <v>331</v>
      </c>
      <c r="O72" s="50" t="str">
        <f>IF(AND($B72&gt;='111'!$N$11,$B72&lt;='111'!$O$11,OR($L72=$O$7,$M72=$O$7)),"x","")</f>
        <v/>
      </c>
      <c r="P72" s="50" t="str">
        <f>IF(AND($L72=$O$7,$B72&lt;'111'!$N$11),"x","")</f>
        <v/>
      </c>
      <c r="Q72" s="50" t="str">
        <f>IF(AND($M72=$O$7,$B72&lt;'111'!$N$11),"x","")</f>
        <v/>
      </c>
      <c r="R72" s="50" t="str">
        <f>IF(ISERROR(FIND('112'!$M$9,G72,1)),"",IF((AND(FIND('112'!$M$9,G72,1)&gt;=1,$B72&gt;='112'!$N$8,$B72&lt;='112'!$O$8,OR($L72='112'!$I$6,$M72='112'!$I$6))),"x",""))</f>
        <v/>
      </c>
      <c r="S72" s="50" t="str">
        <f>IF(ISERROR(FIND('112'!$M$9,G72,1)),"",IF((AND(LEFT(G72,2)=LEFT('112'!$M$9,2),B72&lt;'112'!$N$8,$L72='112'!$I$6)),"x",""))</f>
        <v/>
      </c>
      <c r="T72" s="50" t="str">
        <f>IF(ISERROR(FIND('112'!$M$9,G72,1)),"",IF((AND(RIGHT(G72,2)=RIGHT('112'!$M$9,2),B72&lt;'112'!$N$8,$M72='112'!$I$6)),"x",""))</f>
        <v/>
      </c>
      <c r="U72" s="50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0" t="str">
        <f>IF(OR(TH!L72=TH!$V$7,M72=TH!$V$7),"x","")</f>
        <v/>
      </c>
      <c r="W72" s="50" t="str">
        <f>IF(AND(B72&gt;='IN-NX'!$P$3,B72&lt;='IN-NX'!$Q$3,'IN-NX'!$D$7=D72,OR(LEFT(L72,2)="15",AND(LEFT(M72,2)&lt;&gt;"15",LEFT(M72,2)&lt;&gt;"33"))),"x","")</f>
        <v/>
      </c>
      <c r="X72" s="50" t="str">
        <f>IF(AND(OR(LEFT(TH!L72,2)="15",LEFT(TH!M72,2)="15"),'152-CT'!$J$8=TH!F72),"x","")</f>
        <v/>
      </c>
      <c r="Y72" s="50" t="str">
        <f>IF(AND(OR(LEFT(TH!L72,2)="15",LEFT(TH!M72,2)="15"),TK!$E$7=TH!F72),"x","")</f>
        <v/>
      </c>
      <c r="Z72" s="50" t="str">
        <f>IF(AND(B72&lt;=NKC!$N$8,B72&gt;=NKC!$M$8),"x","")</f>
        <v/>
      </c>
      <c r="AA72" s="845"/>
      <c r="AB72" s="581"/>
    </row>
    <row r="73" spans="1:30" s="201" customFormat="1" ht="15.75" customHeight="1">
      <c r="A73" s="846" t="str">
        <f>IF(B73&lt;&gt;"",IF(AND(B73&gt;=_TM1,B73&lt;=_TM2,OR(TH!L73="1111",TH!M73="1111")),TH!D73,""),"")</f>
        <v/>
      </c>
      <c r="B73" s="36">
        <f>IF(C73&lt;&gt;"",MONTH(C73),"")</f>
        <v>10</v>
      </c>
      <c r="C73" s="187">
        <f>E73</f>
        <v>41201</v>
      </c>
      <c r="D73" s="187" t="s">
        <v>744</v>
      </c>
      <c r="E73" s="180">
        <v>41201</v>
      </c>
      <c r="F73" s="185" t="s">
        <v>634</v>
      </c>
      <c r="G73" s="853" t="s">
        <v>670</v>
      </c>
      <c r="H73" s="7" t="s">
        <v>632</v>
      </c>
      <c r="I73" s="249"/>
      <c r="J73" s="249"/>
      <c r="K73" s="37">
        <v>1008900</v>
      </c>
      <c r="L73" s="190" t="s">
        <v>9</v>
      </c>
      <c r="M73" s="190" t="s">
        <v>8</v>
      </c>
      <c r="N73" s="50" t="str">
        <f>IF(AND('331-CT'!$E$7=TH!H73,OR(L73="331",M73="331")),"331",IF(AND(OR(L73="131",M73="131"),H73='131-CT'!$E$7),"131",""))</f>
        <v>331</v>
      </c>
      <c r="O73" s="50" t="str">
        <f>IF(AND($B73&gt;='111'!$N$11,$B73&lt;='111'!$O$11,OR($L73=$O$7,$M73=$O$7)),"x","")</f>
        <v/>
      </c>
      <c r="P73" s="50" t="str">
        <f>IF(AND($L73=$O$7,$B73&lt;'111'!$N$11),"x","")</f>
        <v/>
      </c>
      <c r="Q73" s="50" t="str">
        <f>IF(AND($M73=$O$7,$B73&lt;'111'!$N$11),"x","")</f>
        <v/>
      </c>
      <c r="R73" s="50" t="str">
        <f>IF(ISERROR(FIND('112'!$M$9,G73,1)),"",IF((AND(FIND('112'!$M$9,G73,1)&gt;=1,$B73&gt;='112'!$N$8,$B73&lt;='112'!$O$8,OR($L73='112'!$I$6,$M73='112'!$I$6))),"x",""))</f>
        <v/>
      </c>
      <c r="S73" s="50" t="str">
        <f>IF(ISERROR(FIND('112'!$M$9,G73,1)),"",IF((AND(LEFT(G73,2)=LEFT('112'!$M$9,2),B73&lt;'112'!$N$8,$L73='112'!$I$6)),"x",""))</f>
        <v/>
      </c>
      <c r="T73" s="50" t="str">
        <f>IF(ISERROR(FIND('112'!$M$9,G73,1)),"",IF((AND(RIGHT(G73,2)=RIGHT('112'!$M$9,2),B73&lt;'112'!$N$8,$M73='112'!$I$6)),"x",""))</f>
        <v/>
      </c>
      <c r="U73" s="50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0" t="str">
        <f>IF(OR(TH!L73=TH!$V$7,M73=TH!$V$7),"x","")</f>
        <v/>
      </c>
      <c r="W73" s="50" t="str">
        <f>IF(AND(B73&gt;='IN-NX'!$P$3,B73&lt;='IN-NX'!$Q$3,'IN-NX'!$D$7=D73,OR(LEFT(L73,2)="15",AND(LEFT(M73,2)&lt;&gt;"15",LEFT(M73,2)&lt;&gt;"33"))),"x","")</f>
        <v/>
      </c>
      <c r="X73" s="50" t="str">
        <f>IF(AND(OR(LEFT(TH!L73,2)="15",LEFT(TH!M73,2)="15"),'152-CT'!$J$8=TH!F73),"x","")</f>
        <v/>
      </c>
      <c r="Y73" s="50" t="str">
        <f>IF(AND(OR(LEFT(TH!L73,2)="15",LEFT(TH!M73,2)="15"),TK!$E$7=TH!F73),"x","")</f>
        <v/>
      </c>
      <c r="Z73" s="50" t="str">
        <f>IF(AND(B73&lt;=NKC!$N$8,B73&gt;=NKC!$M$8),"x","")</f>
        <v/>
      </c>
      <c r="AA73" s="845"/>
      <c r="AB73" s="581"/>
    </row>
    <row r="74" spans="1:30" s="201" customFormat="1" ht="15.75" customHeight="1">
      <c r="A74" s="846" t="str">
        <f>IF(B74&lt;&gt;"",IF(AND(B74&gt;=_TM1,B74&lt;=_TM2,OR(TH!L74="1111",TH!M74="1111")),TH!D74,""),"")</f>
        <v>C04</v>
      </c>
      <c r="B74" s="36">
        <f>IF(C74&lt;&gt;"",MONTH(C74),"")</f>
        <v>10</v>
      </c>
      <c r="C74" s="187">
        <f>E74</f>
        <v>41201</v>
      </c>
      <c r="D74" s="187" t="s">
        <v>734</v>
      </c>
      <c r="E74" s="180">
        <v>41201</v>
      </c>
      <c r="F74" s="185" t="s">
        <v>730</v>
      </c>
      <c r="G74" s="853" t="s">
        <v>670</v>
      </c>
      <c r="H74" s="7" t="s">
        <v>632</v>
      </c>
      <c r="I74" s="249"/>
      <c r="J74" s="249"/>
      <c r="K74" s="37">
        <v>11097900</v>
      </c>
      <c r="L74" s="190" t="s">
        <v>8</v>
      </c>
      <c r="M74" s="190" t="s">
        <v>47</v>
      </c>
      <c r="N74" s="50" t="str">
        <f>IF(AND('331-CT'!$E$7=TH!H74,OR(L74="331",M74="331")),"331",IF(AND(OR(L74="131",M74="131"),H74='131-CT'!$E$7),"131",""))</f>
        <v>331</v>
      </c>
      <c r="O74" s="50" t="str">
        <f>IF(AND($B74&gt;='111'!$N$11,$B74&lt;='111'!$O$11,OR($L74=$O$7,$M74=$O$7)),"x","")</f>
        <v>x</v>
      </c>
      <c r="P74" s="50" t="str">
        <f>IF(AND($L74=$O$7,$B74&lt;'111'!$N$11),"x","")</f>
        <v/>
      </c>
      <c r="Q74" s="50" t="str">
        <f>IF(AND($M74=$O$7,$B74&lt;'111'!$N$11),"x","")</f>
        <v/>
      </c>
      <c r="R74" s="50" t="str">
        <f>IF(ISERROR(FIND('112'!$M$9,G74,1)),"",IF((AND(FIND('112'!$M$9,G74,1)&gt;=1,$B74&gt;='112'!$N$8,$B74&lt;='112'!$O$8,OR($L74='112'!$I$6,$M74='112'!$I$6))),"x",""))</f>
        <v/>
      </c>
      <c r="S74" s="50" t="str">
        <f>IF(ISERROR(FIND('112'!$M$9,G74,1)),"",IF((AND(LEFT(G74,2)=LEFT('112'!$M$9,2),B74&lt;'112'!$N$8,$L74='112'!$I$6)),"x",""))</f>
        <v/>
      </c>
      <c r="T74" s="50" t="str">
        <f>IF(ISERROR(FIND('112'!$M$9,G74,1)),"",IF((AND(RIGHT(G74,2)=RIGHT('112'!$M$9,2),B74&lt;'112'!$N$8,$M74='112'!$I$6)),"x",""))</f>
        <v/>
      </c>
      <c r="U74" s="50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0" t="str">
        <f>IF(OR(TH!L74=TH!$V$7,M74=TH!$V$7),"x","")</f>
        <v/>
      </c>
      <c r="W74" s="50" t="str">
        <f>IF(AND(B74&gt;='IN-NX'!$P$3,B74&lt;='IN-NX'!$Q$3,'IN-NX'!$D$7=D74,OR(LEFT(L74,2)="15",AND(LEFT(M74,2)&lt;&gt;"15",LEFT(M74,2)&lt;&gt;"33"))),"x","")</f>
        <v/>
      </c>
      <c r="X74" s="50" t="str">
        <f>IF(AND(OR(LEFT(TH!L74,2)="15",LEFT(TH!M74,2)="15"),'152-CT'!$J$8=TH!F74),"x","")</f>
        <v/>
      </c>
      <c r="Y74" s="50" t="str">
        <f>IF(AND(OR(LEFT(TH!L74,2)="15",LEFT(TH!M74,2)="15"),TK!$E$7=TH!F74),"x","")</f>
        <v/>
      </c>
      <c r="Z74" s="50" t="str">
        <f>IF(AND(B74&lt;=NKC!$N$8,B74&gt;=NKC!$M$8),"x","")</f>
        <v/>
      </c>
      <c r="AA74" s="845"/>
      <c r="AB74" s="581"/>
    </row>
    <row r="75" spans="1:30" s="201" customFormat="1" ht="15.75" customHeight="1">
      <c r="A75" s="846" t="str">
        <f>IF(B75&lt;&gt;"",IF(AND(B75&gt;=_TM1,B75&lt;=_TM2,OR(TH!L75="1111",TH!M75="1111")),TH!D75,""),"")</f>
        <v>C05</v>
      </c>
      <c r="B75" s="36">
        <f>IF(C75&lt;&gt;"",MONTH(C75),"")</f>
        <v>10</v>
      </c>
      <c r="C75" s="187">
        <f>E75</f>
        <v>41202</v>
      </c>
      <c r="D75" s="187" t="s">
        <v>735</v>
      </c>
      <c r="E75" s="180">
        <v>41202</v>
      </c>
      <c r="F75" s="188" t="s">
        <v>621</v>
      </c>
      <c r="G75" s="853" t="s">
        <v>672</v>
      </c>
      <c r="H75" s="200" t="s">
        <v>620</v>
      </c>
      <c r="I75" s="249"/>
      <c r="J75" s="249"/>
      <c r="K75" s="37">
        <f>187273+62727</f>
        <v>250000</v>
      </c>
      <c r="L75" s="190" t="s">
        <v>83</v>
      </c>
      <c r="M75" s="190" t="s">
        <v>47</v>
      </c>
      <c r="N75" s="50" t="str">
        <f>IF(AND('331-CT'!$E$7=TH!H75,OR(L75="331",M75="331")),"331",IF(AND(OR(L75="131",M75="131"),H75='131-CT'!$E$7),"131",""))</f>
        <v/>
      </c>
      <c r="O75" s="50" t="str">
        <f>IF(AND($B75&gt;='111'!$N$11,$B75&lt;='111'!$O$11,OR($L75=$O$7,$M75=$O$7)),"x","")</f>
        <v>x</v>
      </c>
      <c r="P75" s="50" t="str">
        <f>IF(AND($L75=$O$7,$B75&lt;'111'!$N$11),"x","")</f>
        <v/>
      </c>
      <c r="Q75" s="50" t="str">
        <f>IF(AND($M75=$O$7,$B75&lt;'111'!$N$11),"x","")</f>
        <v/>
      </c>
      <c r="R75" s="50" t="str">
        <f>IF(ISERROR(FIND('112'!$M$9,G75,1)),"",IF((AND(FIND('112'!$M$9,G75,1)&gt;=1,$B75&gt;='112'!$N$8,$B75&lt;='112'!$O$8,OR($L75='112'!$I$6,$M75='112'!$I$6))),"x",""))</f>
        <v/>
      </c>
      <c r="S75" s="50" t="str">
        <f>IF(ISERROR(FIND('112'!$M$9,G75,1)),"",IF((AND(LEFT(G75,2)=LEFT('112'!$M$9,2),B75&lt;'112'!$N$8,$L75='112'!$I$6)),"x",""))</f>
        <v/>
      </c>
      <c r="T75" s="50" t="str">
        <f>IF(ISERROR(FIND('112'!$M$9,G75,1)),"",IF((AND(RIGHT(G75,2)=RIGHT('112'!$M$9,2),B75&lt;'112'!$N$8,$M75='112'!$I$6)),"x",""))</f>
        <v/>
      </c>
      <c r="U75" s="50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0" t="str">
        <f>IF(OR(TH!L75=TH!$V$7,M75=TH!$V$7),"x","")</f>
        <v>x</v>
      </c>
      <c r="W75" s="50" t="str">
        <f>IF(AND(B75&gt;='IN-NX'!$P$3,B75&lt;='IN-NX'!$Q$3,'IN-NX'!$D$7=D75,OR(LEFT(L75,2)="15",AND(LEFT(M75,2)&lt;&gt;"15",LEFT(M75,2)&lt;&gt;"33"))),"x","")</f>
        <v/>
      </c>
      <c r="X75" s="50" t="str">
        <f>IF(AND(OR(LEFT(TH!L75,2)="15",LEFT(TH!M75,2)="15"),'152-CT'!$J$8=TH!F75),"x","")</f>
        <v/>
      </c>
      <c r="Y75" s="50" t="str">
        <f>IF(AND(OR(LEFT(TH!L75,2)="15",LEFT(TH!M75,2)="15"),TK!$E$7=TH!F75),"x","")</f>
        <v/>
      </c>
      <c r="Z75" s="50" t="str">
        <f>IF(AND(B75&lt;=NKC!$N$8,B75&gt;=NKC!$M$8),"x","")</f>
        <v/>
      </c>
      <c r="AA75" s="845"/>
      <c r="AB75" s="581"/>
    </row>
    <row r="76" spans="1:30" s="201" customFormat="1" ht="15.75" customHeight="1">
      <c r="A76" s="846" t="str">
        <f>IF(B76&lt;&gt;"",IF(AND(B76&gt;=_TM1,B76&lt;=_TM2,OR(TH!L76="1111",TH!M76="1111")),TH!D76,""),"")</f>
        <v>C05</v>
      </c>
      <c r="B76" s="36">
        <f>IF(C76&lt;&gt;"",MONTH(C76),"")</f>
        <v>10</v>
      </c>
      <c r="C76" s="187">
        <f>E76</f>
        <v>41202</v>
      </c>
      <c r="D76" s="187" t="s">
        <v>735</v>
      </c>
      <c r="E76" s="180">
        <v>41202</v>
      </c>
      <c r="F76" s="188" t="s">
        <v>622</v>
      </c>
      <c r="G76" s="853" t="s">
        <v>672</v>
      </c>
      <c r="H76" s="200" t="s">
        <v>620</v>
      </c>
      <c r="I76" s="249"/>
      <c r="J76" s="249"/>
      <c r="K76" s="37">
        <f>18727+6273</f>
        <v>25000</v>
      </c>
      <c r="L76" s="190" t="s">
        <v>9</v>
      </c>
      <c r="M76" s="190" t="s">
        <v>47</v>
      </c>
      <c r="N76" s="50" t="str">
        <f>IF(AND('331-CT'!$E$7=TH!H76,OR(L76="331",M76="331")),"331",IF(AND(OR(L76="131",M76="131"),H76='131-CT'!$E$7),"131",""))</f>
        <v/>
      </c>
      <c r="O76" s="50" t="str">
        <f>IF(AND($B76&gt;='111'!$N$11,$B76&lt;='111'!$O$11,OR($L76=$O$7,$M76=$O$7)),"x","")</f>
        <v>x</v>
      </c>
      <c r="P76" s="50" t="str">
        <f>IF(AND($L76=$O$7,$B76&lt;'111'!$N$11),"x","")</f>
        <v/>
      </c>
      <c r="Q76" s="50" t="str">
        <f>IF(AND($M76=$O$7,$B76&lt;'111'!$N$11),"x","")</f>
        <v/>
      </c>
      <c r="R76" s="50" t="str">
        <f>IF(ISERROR(FIND('112'!$M$9,G76,1)),"",IF((AND(FIND('112'!$M$9,G76,1)&gt;=1,$B76&gt;='112'!$N$8,$B76&lt;='112'!$O$8,OR($L76='112'!$I$6,$M76='112'!$I$6))),"x",""))</f>
        <v/>
      </c>
      <c r="S76" s="50" t="str">
        <f>IF(ISERROR(FIND('112'!$M$9,G76,1)),"",IF((AND(LEFT(G76,2)=LEFT('112'!$M$9,2),B76&lt;'112'!$N$8,$L76='112'!$I$6)),"x",""))</f>
        <v/>
      </c>
      <c r="T76" s="50" t="str">
        <f>IF(ISERROR(FIND('112'!$M$9,G76,1)),"",IF((AND(RIGHT(G76,2)=RIGHT('112'!$M$9,2),B76&lt;'112'!$N$8,$M76='112'!$I$6)),"x",""))</f>
        <v/>
      </c>
      <c r="U76" s="50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0" t="str">
        <f>IF(OR(TH!L76=TH!$V$7,M76=TH!$V$7),"x","")</f>
        <v/>
      </c>
      <c r="W76" s="50" t="str">
        <f>IF(AND(B76&gt;='IN-NX'!$P$3,B76&lt;='IN-NX'!$Q$3,'IN-NX'!$D$7=D76,OR(LEFT(L76,2)="15",AND(LEFT(M76,2)&lt;&gt;"15",LEFT(M76,2)&lt;&gt;"33"))),"x","")</f>
        <v/>
      </c>
      <c r="X76" s="50" t="str">
        <f>IF(AND(OR(LEFT(TH!L76,2)="15",LEFT(TH!M76,2)="15"),'152-CT'!$J$8=TH!F76),"x","")</f>
        <v/>
      </c>
      <c r="Y76" s="50" t="str">
        <f>IF(AND(OR(LEFT(TH!L76,2)="15",LEFT(TH!M76,2)="15"),TK!$E$7=TH!F76),"x","")</f>
        <v/>
      </c>
      <c r="Z76" s="50" t="str">
        <f>IF(AND(B76&lt;=NKC!$N$8,B76&gt;=NKC!$M$8),"x","")</f>
        <v/>
      </c>
      <c r="AA76" s="845"/>
      <c r="AB76" s="581"/>
    </row>
    <row r="77" spans="1:30" s="201" customFormat="1" ht="15.75" customHeight="1">
      <c r="A77" s="846" t="str">
        <f>IF(B77&lt;&gt;"",IF(AND(B77&gt;=_TM1,B77&lt;=_TM2,OR(TH!L77="1111",TH!M77="1111")),TH!D77,""),"")</f>
        <v/>
      </c>
      <c r="B77" s="36">
        <f>IF(C77&lt;&gt;"",MONTH(C77),"")</f>
        <v>10</v>
      </c>
      <c r="C77" s="187">
        <f>E77</f>
        <v>41206</v>
      </c>
      <c r="D77" s="180" t="s">
        <v>715</v>
      </c>
      <c r="E77" s="180">
        <v>41206</v>
      </c>
      <c r="F77" s="185" t="s">
        <v>718</v>
      </c>
      <c r="G77" s="853" t="s">
        <v>616</v>
      </c>
      <c r="H77" s="189" t="s">
        <v>725</v>
      </c>
      <c r="I77" s="249"/>
      <c r="J77" s="249"/>
      <c r="K77" s="589">
        <v>8294000</v>
      </c>
      <c r="L77" s="590" t="s">
        <v>24</v>
      </c>
      <c r="M77" s="590" t="s">
        <v>269</v>
      </c>
      <c r="N77" s="50" t="str">
        <f>IF(AND('331-CT'!$E$7=TH!H77,OR(L77="331",M77="331")),"331",IF(AND(OR(L77="131",M77="131"),H77='131-CT'!$E$7),"131",""))</f>
        <v/>
      </c>
      <c r="O77" s="50" t="str">
        <f>IF(AND($B77&gt;='111'!$N$11,$B77&lt;='111'!$O$11,OR($L77=$O$7,$M77=$O$7)),"x","")</f>
        <v/>
      </c>
      <c r="P77" s="50" t="str">
        <f>IF(AND($L77=$O$7,$B77&lt;'111'!$N$11),"x","")</f>
        <v/>
      </c>
      <c r="Q77" s="50" t="str">
        <f>IF(AND($M77=$O$7,$B77&lt;'111'!$N$11),"x","")</f>
        <v/>
      </c>
      <c r="R77" s="50" t="str">
        <f>IF(ISERROR(FIND('112'!$M$9,G77,1)),"",IF((AND(FIND('112'!$M$9,G77,1)&gt;=1,$B77&gt;='112'!$N$8,$B77&lt;='112'!$O$8,OR($L77='112'!$I$6,$M77='112'!$I$6))),"x",""))</f>
        <v>x</v>
      </c>
      <c r="S77" s="50" t="str">
        <f>IF(ISERROR(FIND('112'!$M$9,G77,1)),"",IF((AND(LEFT(G77,2)=LEFT('112'!$M$9,2),B77&lt;'112'!$N$8,$L77='112'!$I$6)),"x",""))</f>
        <v/>
      </c>
      <c r="T77" s="50" t="str">
        <f>IF(ISERROR(FIND('112'!$M$9,G77,1)),"",IF((AND(RIGHT(G77,2)=RIGHT('112'!$M$9,2),B77&lt;'112'!$N$8,$M77='112'!$I$6)),"x",""))</f>
        <v/>
      </c>
      <c r="U77" s="50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0" t="str">
        <f>IF(OR(TH!L77=TH!$V$7,M77=TH!$V$7),"x","")</f>
        <v/>
      </c>
      <c r="W77" s="50" t="str">
        <f>IF(AND(B77&gt;='IN-NX'!$P$3,B77&lt;='IN-NX'!$Q$3,'IN-NX'!$D$7=D77,OR(LEFT(L77,2)="15",AND(LEFT(M77,2)&lt;&gt;"15",LEFT(M77,2)&lt;&gt;"33"))),"x","")</f>
        <v/>
      </c>
      <c r="X77" s="50" t="str">
        <f>IF(AND(OR(LEFT(TH!L77,2)="15",LEFT(TH!M77,2)="15"),'152-CT'!$J$8=TH!F77),"x","")</f>
        <v/>
      </c>
      <c r="Y77" s="50" t="str">
        <f>IF(AND(OR(LEFT(TH!L77,2)="15",LEFT(TH!M77,2)="15"),TK!$E$7=TH!F77),"x","")</f>
        <v/>
      </c>
      <c r="Z77" s="50" t="str">
        <f>IF(AND(B77&lt;=NKC!$N$8,B77&gt;=NKC!$M$8),"x","")</f>
        <v/>
      </c>
      <c r="AA77" s="845"/>
      <c r="AB77" s="581"/>
      <c r="AC77" s="581"/>
      <c r="AD77" s="581"/>
    </row>
    <row r="78" spans="1:30" s="201" customFormat="1" ht="15.75" customHeight="1">
      <c r="A78" s="846" t="str">
        <f>IF(B78&lt;&gt;"",IF(AND(B78&gt;=_TM1,B78&lt;=_TM2,OR(TH!L78="1111",TH!M78="1111")),TH!D78,""),"")</f>
        <v/>
      </c>
      <c r="B78" s="36">
        <f>IF(C78&lt;&gt;"",MONTH(C78),"")</f>
        <v>10</v>
      </c>
      <c r="C78" s="187">
        <f>E78</f>
        <v>41207</v>
      </c>
      <c r="D78" s="180" t="s">
        <v>729</v>
      </c>
      <c r="E78" s="180">
        <v>41207</v>
      </c>
      <c r="F78" s="185" t="s">
        <v>717</v>
      </c>
      <c r="G78" s="853" t="s">
        <v>616</v>
      </c>
      <c r="H78" s="189"/>
      <c r="I78" s="249"/>
      <c r="J78" s="249"/>
      <c r="K78" s="589">
        <v>11000</v>
      </c>
      <c r="L78" s="590" t="s">
        <v>83</v>
      </c>
      <c r="M78" s="590" t="s">
        <v>24</v>
      </c>
      <c r="N78" s="50" t="str">
        <f>IF(AND('331-CT'!$E$7=TH!H78,OR(L78="331",M78="331")),"331",IF(AND(OR(L78="131",M78="131"),H78='131-CT'!$E$7),"131",""))</f>
        <v/>
      </c>
      <c r="O78" s="50" t="str">
        <f>IF(AND($B78&gt;='111'!$N$11,$B78&lt;='111'!$O$11,OR($L78=$O$7,$M78=$O$7)),"x","")</f>
        <v/>
      </c>
      <c r="P78" s="50" t="str">
        <f>IF(AND($L78=$O$7,$B78&lt;'111'!$N$11),"x","")</f>
        <v/>
      </c>
      <c r="Q78" s="50" t="str">
        <f>IF(AND($M78=$O$7,$B78&lt;'111'!$N$11),"x","")</f>
        <v/>
      </c>
      <c r="R78" s="50" t="str">
        <f>IF(ISERROR(FIND('112'!$M$9,G78,1)),"",IF((AND(FIND('112'!$M$9,G78,1)&gt;=1,$B78&gt;='112'!$N$8,$B78&lt;='112'!$O$8,OR($L78='112'!$I$6,$M78='112'!$I$6))),"x",""))</f>
        <v>x</v>
      </c>
      <c r="S78" s="50" t="str">
        <f>IF(ISERROR(FIND('112'!$M$9,G78,1)),"",IF((AND(LEFT(G78,2)=LEFT('112'!$M$9,2),B78&lt;'112'!$N$8,$L78='112'!$I$6)),"x",""))</f>
        <v/>
      </c>
      <c r="T78" s="50" t="str">
        <f>IF(ISERROR(FIND('112'!$M$9,G78,1)),"",IF((AND(RIGHT(G78,2)=RIGHT('112'!$M$9,2),B78&lt;'112'!$N$8,$M78='112'!$I$6)),"x",""))</f>
        <v/>
      </c>
      <c r="U78" s="50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0" t="str">
        <f>IF(OR(TH!L78=TH!$V$7,M78=TH!$V$7),"x","")</f>
        <v>x</v>
      </c>
      <c r="W78" s="50" t="str">
        <f>IF(AND(B78&gt;='IN-NX'!$P$3,B78&lt;='IN-NX'!$Q$3,'IN-NX'!$D$7=D78,OR(LEFT(L78,2)="15",AND(LEFT(M78,2)&lt;&gt;"15",LEFT(M78,2)&lt;&gt;"33"))),"x","")</f>
        <v/>
      </c>
      <c r="X78" s="50" t="str">
        <f>IF(AND(OR(LEFT(TH!L78,2)="15",LEFT(TH!M78,2)="15"),'152-CT'!$J$8=TH!F78),"x","")</f>
        <v/>
      </c>
      <c r="Y78" s="50" t="str">
        <f>IF(AND(OR(LEFT(TH!L78,2)="15",LEFT(TH!M78,2)="15"),TK!$E$7=TH!F78),"x","")</f>
        <v/>
      </c>
      <c r="Z78" s="50" t="str">
        <f>IF(AND(B78&lt;=NKC!$N$8,B78&gt;=NKC!$M$8),"x","")</f>
        <v/>
      </c>
      <c r="AA78" s="845"/>
      <c r="AB78" s="581"/>
    </row>
    <row r="79" spans="1:30" s="201" customFormat="1" ht="15.75" customHeight="1">
      <c r="A79" s="846" t="str">
        <f>IF(B79&lt;&gt;"",IF(AND(B79&gt;=_TM1,B79&lt;=_TM2,OR(TH!L79="1111",TH!M79="1111")),TH!D79,""),"")</f>
        <v/>
      </c>
      <c r="B79" s="36">
        <f>IF(C79&lt;&gt;"",MONTH(C79),"")</f>
        <v>10</v>
      </c>
      <c r="C79" s="187">
        <f>E79</f>
        <v>41207</v>
      </c>
      <c r="D79" s="180" t="s">
        <v>715</v>
      </c>
      <c r="E79" s="180">
        <v>41207</v>
      </c>
      <c r="F79" s="185" t="s">
        <v>723</v>
      </c>
      <c r="G79" s="853" t="s">
        <v>616</v>
      </c>
      <c r="H79" s="189"/>
      <c r="I79" s="249"/>
      <c r="J79" s="249"/>
      <c r="K79" s="589">
        <v>22296</v>
      </c>
      <c r="L79" s="590" t="s">
        <v>24</v>
      </c>
      <c r="M79" s="590" t="s">
        <v>40</v>
      </c>
      <c r="N79" s="50" t="str">
        <f>IF(AND('331-CT'!$E$7=TH!H79,OR(L79="331",M79="331")),"331",IF(AND(OR(L79="131",M79="131"),H79='131-CT'!$E$7),"131",""))</f>
        <v/>
      </c>
      <c r="O79" s="50" t="str">
        <f>IF(AND($B79&gt;='111'!$N$11,$B79&lt;='111'!$O$11,OR($L79=$O$7,$M79=$O$7)),"x","")</f>
        <v/>
      </c>
      <c r="P79" s="50" t="str">
        <f>IF(AND($L79=$O$7,$B79&lt;'111'!$N$11),"x","")</f>
        <v/>
      </c>
      <c r="Q79" s="50" t="str">
        <f>IF(AND($M79=$O$7,$B79&lt;'111'!$N$11),"x","")</f>
        <v/>
      </c>
      <c r="R79" s="50" t="str">
        <f>IF(ISERROR(FIND('112'!$M$9,G79,1)),"",IF((AND(FIND('112'!$M$9,G79,1)&gt;=1,$B79&gt;='112'!$N$8,$B79&lt;='112'!$O$8,OR($L79='112'!$I$6,$M79='112'!$I$6))),"x",""))</f>
        <v>x</v>
      </c>
      <c r="S79" s="50" t="str">
        <f>IF(ISERROR(FIND('112'!$M$9,G79,1)),"",IF((AND(LEFT(G79,2)=LEFT('112'!$M$9,2),B79&lt;'112'!$N$8,$L79='112'!$I$6)),"x",""))</f>
        <v/>
      </c>
      <c r="T79" s="50" t="str">
        <f>IF(ISERROR(FIND('112'!$M$9,G79,1)),"",IF((AND(RIGHT(G79,2)=RIGHT('112'!$M$9,2),B79&lt;'112'!$N$8,$M79='112'!$I$6)),"x",""))</f>
        <v/>
      </c>
      <c r="U79" s="50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0" t="str">
        <f>IF(OR(TH!L79=TH!$V$7,M79=TH!$V$7),"x","")</f>
        <v/>
      </c>
      <c r="W79" s="50" t="str">
        <f>IF(AND(B79&gt;='IN-NX'!$P$3,B79&lt;='IN-NX'!$Q$3,'IN-NX'!$D$7=D79,OR(LEFT(L79,2)="15",AND(LEFT(M79,2)&lt;&gt;"15",LEFT(M79,2)&lt;&gt;"33"))),"x","")</f>
        <v/>
      </c>
      <c r="X79" s="50" t="str">
        <f>IF(AND(OR(LEFT(TH!L79,2)="15",LEFT(TH!M79,2)="15"),'152-CT'!$J$8=TH!F79),"x","")</f>
        <v/>
      </c>
      <c r="Y79" s="50" t="str">
        <f>IF(AND(OR(LEFT(TH!L79,2)="15",LEFT(TH!M79,2)="15"),TK!$E$7=TH!F79),"x","")</f>
        <v/>
      </c>
      <c r="Z79" s="50" t="str">
        <f>IF(AND(B79&lt;=NKC!$N$8,B79&gt;=NKC!$M$8),"x","")</f>
        <v/>
      </c>
      <c r="AA79" s="845"/>
      <c r="AB79" s="581"/>
    </row>
    <row r="80" spans="1:30" s="201" customFormat="1" ht="15.75" customHeight="1">
      <c r="A80" s="846" t="str">
        <f>IF(B80&lt;&gt;"",IF(AND(B80&gt;=_TM1,B80&lt;=_TM2,OR(TH!L80="1111",TH!M80="1111")),TH!D80,""),"")</f>
        <v/>
      </c>
      <c r="B80" s="36">
        <f>IF(C80&lt;&gt;"",MONTH(C80),"")</f>
        <v>10</v>
      </c>
      <c r="C80" s="187">
        <f>E80</f>
        <v>41207</v>
      </c>
      <c r="D80" s="187" t="s">
        <v>745</v>
      </c>
      <c r="E80" s="180">
        <v>41207</v>
      </c>
      <c r="F80" s="185" t="s">
        <v>664</v>
      </c>
      <c r="G80" s="853" t="s">
        <v>663</v>
      </c>
      <c r="H80" s="7" t="s">
        <v>632</v>
      </c>
      <c r="I80" s="249">
        <v>500</v>
      </c>
      <c r="J80" s="249">
        <v>10286</v>
      </c>
      <c r="K80" s="37">
        <f>ROUND(I80*J80,0)</f>
        <v>5143000</v>
      </c>
      <c r="L80" s="190" t="s">
        <v>617</v>
      </c>
      <c r="M80" s="190" t="s">
        <v>8</v>
      </c>
      <c r="N80" s="50" t="str">
        <f>IF(AND('331-CT'!$E$7=TH!H80,OR(L80="331",M80="331")),"331",IF(AND(OR(L80="131",M80="131"),H80='131-CT'!$E$7),"131",""))</f>
        <v>331</v>
      </c>
      <c r="O80" s="50" t="str">
        <f>IF(AND($B80&gt;='111'!$N$11,$B80&lt;='111'!$O$11,OR($L80=$O$7,$M80=$O$7)),"x","")</f>
        <v/>
      </c>
      <c r="P80" s="50" t="str">
        <f>IF(AND($L80=$O$7,$B80&lt;'111'!$N$11),"x","")</f>
        <v/>
      </c>
      <c r="Q80" s="50" t="str">
        <f>IF(AND($M80=$O$7,$B80&lt;'111'!$N$11),"x","")</f>
        <v/>
      </c>
      <c r="R80" s="50" t="str">
        <f>IF(ISERROR(FIND('112'!$M$9,G80,1)),"",IF((AND(FIND('112'!$M$9,G80,1)&gt;=1,$B80&gt;='112'!$N$8,$B80&lt;='112'!$O$8,OR($L80='112'!$I$6,$M80='112'!$I$6))),"x",""))</f>
        <v/>
      </c>
      <c r="S80" s="50" t="str">
        <f>IF(ISERROR(FIND('112'!$M$9,G80,1)),"",IF((AND(LEFT(G80,2)=LEFT('112'!$M$9,2),B80&lt;'112'!$N$8,$L80='112'!$I$6)),"x",""))</f>
        <v/>
      </c>
      <c r="T80" s="50" t="str">
        <f>IF(ISERROR(FIND('112'!$M$9,G80,1)),"",IF((AND(RIGHT(G80,2)=RIGHT('112'!$M$9,2),B80&lt;'112'!$N$8,$M80='112'!$I$6)),"x",""))</f>
        <v/>
      </c>
      <c r="U80" s="50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0" t="str">
        <f>IF(OR(TH!L80=TH!$V$7,M80=TH!$V$7),"x","")</f>
        <v/>
      </c>
      <c r="W80" s="50" t="str">
        <f>IF(AND(B80&gt;='IN-NX'!$P$3,B80&lt;='IN-NX'!$Q$3,'IN-NX'!$D$7=D80,OR(LEFT(L80,2)="15",AND(LEFT(M80,2)&lt;&gt;"15",LEFT(M80,2)&lt;&gt;"33"))),"x","")</f>
        <v/>
      </c>
      <c r="X80" s="50" t="str">
        <f>IF(AND(OR(LEFT(TH!L80,2)="15",LEFT(TH!M80,2)="15"),'152-CT'!$J$8=TH!F80),"x","")</f>
        <v/>
      </c>
      <c r="Y80" s="50" t="str">
        <f>IF(AND(OR(LEFT(TH!L80,2)="15",LEFT(TH!M80,2)="15"),TK!$E$7=TH!F80),"x","")</f>
        <v/>
      </c>
      <c r="Z80" s="50" t="str">
        <f>IF(AND(B80&lt;=NKC!$N$8,B80&gt;=NKC!$M$8),"x","")</f>
        <v/>
      </c>
      <c r="AA80" s="845"/>
      <c r="AB80" s="581"/>
    </row>
    <row r="81" spans="1:30" s="201" customFormat="1" ht="15.75" customHeight="1">
      <c r="A81" s="846" t="str">
        <f>IF(B81&lt;&gt;"",IF(AND(B81&gt;=_TM1,B81&lt;=_TM2,OR(TH!L81="1111",TH!M81="1111")),TH!D81,""),"")</f>
        <v/>
      </c>
      <c r="B81" s="36">
        <f>IF(C81&lt;&gt;"",MONTH(C81),"")</f>
        <v>10</v>
      </c>
      <c r="C81" s="187">
        <f>E81</f>
        <v>41207</v>
      </c>
      <c r="D81" s="187" t="s">
        <v>745</v>
      </c>
      <c r="E81" s="180">
        <v>41207</v>
      </c>
      <c r="F81" s="185" t="s">
        <v>665</v>
      </c>
      <c r="G81" s="853" t="s">
        <v>663</v>
      </c>
      <c r="H81" s="7" t="s">
        <v>632</v>
      </c>
      <c r="I81" s="249">
        <v>500</v>
      </c>
      <c r="J81" s="249">
        <v>13020</v>
      </c>
      <c r="K81" s="37">
        <f>ROUND(I81*J81,0)</f>
        <v>6510000</v>
      </c>
      <c r="L81" s="190" t="s">
        <v>617</v>
      </c>
      <c r="M81" s="190" t="s">
        <v>8</v>
      </c>
      <c r="N81" s="50" t="str">
        <f>IF(AND('331-CT'!$E$7=TH!H81,OR(L81="331",M81="331")),"331",IF(AND(OR(L81="131",M81="131"),H81='131-CT'!$E$7),"131",""))</f>
        <v>331</v>
      </c>
      <c r="O81" s="50" t="str">
        <f>IF(AND($B81&gt;='111'!$N$11,$B81&lt;='111'!$O$11,OR($L81=$O$7,$M81=$O$7)),"x","")</f>
        <v/>
      </c>
      <c r="P81" s="50" t="str">
        <f>IF(AND($L81=$O$7,$B81&lt;'111'!$N$11),"x","")</f>
        <v/>
      </c>
      <c r="Q81" s="50" t="str">
        <f>IF(AND($M81=$O$7,$B81&lt;'111'!$N$11),"x","")</f>
        <v/>
      </c>
      <c r="R81" s="50" t="str">
        <f>IF(ISERROR(FIND('112'!$M$9,G81,1)),"",IF((AND(FIND('112'!$M$9,G81,1)&gt;=1,$B81&gt;='112'!$N$8,$B81&lt;='112'!$O$8,OR($L81='112'!$I$6,$M81='112'!$I$6))),"x",""))</f>
        <v/>
      </c>
      <c r="S81" s="50" t="str">
        <f>IF(ISERROR(FIND('112'!$M$9,G81,1)),"",IF((AND(LEFT(G81,2)=LEFT('112'!$M$9,2),B81&lt;'112'!$N$8,$L81='112'!$I$6)),"x",""))</f>
        <v/>
      </c>
      <c r="T81" s="50" t="str">
        <f>IF(ISERROR(FIND('112'!$M$9,G81,1)),"",IF((AND(RIGHT(G81,2)=RIGHT('112'!$M$9,2),B81&lt;'112'!$N$8,$M81='112'!$I$6)),"x",""))</f>
        <v/>
      </c>
      <c r="U81" s="50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0" t="str">
        <f>IF(OR(TH!L81=TH!$V$7,M81=TH!$V$7),"x","")</f>
        <v/>
      </c>
      <c r="W81" s="50" t="str">
        <f>IF(AND(B81&gt;='IN-NX'!$P$3,B81&lt;='IN-NX'!$Q$3,'IN-NX'!$D$7=D81,OR(LEFT(L81,2)="15",AND(LEFT(M81,2)&lt;&gt;"15",LEFT(M81,2)&lt;&gt;"33"))),"x","")</f>
        <v/>
      </c>
      <c r="X81" s="50" t="str">
        <f>IF(AND(OR(LEFT(TH!L81,2)="15",LEFT(TH!M81,2)="15"),'152-CT'!$J$8=TH!F81),"x","")</f>
        <v/>
      </c>
      <c r="Y81" s="50" t="str">
        <f>IF(AND(OR(LEFT(TH!L81,2)="15",LEFT(TH!M81,2)="15"),TK!$E$7=TH!F81),"x","")</f>
        <v/>
      </c>
      <c r="Z81" s="50" t="str">
        <f>IF(AND(B81&lt;=NKC!$N$8,B81&gt;=NKC!$M$8),"x","")</f>
        <v/>
      </c>
      <c r="AA81" s="845"/>
      <c r="AB81" s="581"/>
    </row>
    <row r="82" spans="1:30" s="201" customFormat="1" ht="15.75" customHeight="1">
      <c r="A82" s="846" t="str">
        <f>IF(B82&lt;&gt;"",IF(AND(B82&gt;=_TM1,B82&lt;=_TM2,OR(TH!L82="1111",TH!M82="1111")),TH!D82,""),"")</f>
        <v/>
      </c>
      <c r="B82" s="36">
        <f>IF(C82&lt;&gt;"",MONTH(C82),"")</f>
        <v>10</v>
      </c>
      <c r="C82" s="187">
        <f>E82</f>
        <v>41207</v>
      </c>
      <c r="D82" s="187" t="s">
        <v>745</v>
      </c>
      <c r="E82" s="180">
        <v>41207</v>
      </c>
      <c r="F82" s="185" t="s">
        <v>634</v>
      </c>
      <c r="G82" s="853" t="s">
        <v>663</v>
      </c>
      <c r="H82" s="7" t="s">
        <v>632</v>
      </c>
      <c r="I82" s="249"/>
      <c r="J82" s="249"/>
      <c r="K82" s="37">
        <v>1165300</v>
      </c>
      <c r="L82" s="190" t="s">
        <v>9</v>
      </c>
      <c r="M82" s="190" t="s">
        <v>8</v>
      </c>
      <c r="N82" s="50" t="str">
        <f>IF(AND('331-CT'!$E$7=TH!H82,OR(L82="331",M82="331")),"331",IF(AND(OR(L82="131",M82="131"),H82='131-CT'!$E$7),"131",""))</f>
        <v>331</v>
      </c>
      <c r="O82" s="50" t="str">
        <f>IF(AND($B82&gt;='111'!$N$11,$B82&lt;='111'!$O$11,OR($L82=$O$7,$M82=$O$7)),"x","")</f>
        <v/>
      </c>
      <c r="P82" s="50" t="str">
        <f>IF(AND($L82=$O$7,$B82&lt;'111'!$N$11),"x","")</f>
        <v/>
      </c>
      <c r="Q82" s="50" t="str">
        <f>IF(AND($M82=$O$7,$B82&lt;'111'!$N$11),"x","")</f>
        <v/>
      </c>
      <c r="R82" s="50" t="str">
        <f>IF(ISERROR(FIND('112'!$M$9,G82,1)),"",IF((AND(FIND('112'!$M$9,G82,1)&gt;=1,$B82&gt;='112'!$N$8,$B82&lt;='112'!$O$8,OR($L82='112'!$I$6,$M82='112'!$I$6))),"x",""))</f>
        <v/>
      </c>
      <c r="S82" s="50" t="str">
        <f>IF(ISERROR(FIND('112'!$M$9,G82,1)),"",IF((AND(LEFT(G82,2)=LEFT('112'!$M$9,2),B82&lt;'112'!$N$8,$L82='112'!$I$6)),"x",""))</f>
        <v/>
      </c>
      <c r="T82" s="50" t="str">
        <f>IF(ISERROR(FIND('112'!$M$9,G82,1)),"",IF((AND(RIGHT(G82,2)=RIGHT('112'!$M$9,2),B82&lt;'112'!$N$8,$M82='112'!$I$6)),"x",""))</f>
        <v/>
      </c>
      <c r="U82" s="50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0" t="str">
        <f>IF(OR(TH!L82=TH!$V$7,M82=TH!$V$7),"x","")</f>
        <v/>
      </c>
      <c r="W82" s="50" t="str">
        <f>IF(AND(B82&gt;='IN-NX'!$P$3,B82&lt;='IN-NX'!$Q$3,'IN-NX'!$D$7=D82,OR(LEFT(L82,2)="15",AND(LEFT(M82,2)&lt;&gt;"15",LEFT(M82,2)&lt;&gt;"33"))),"x","")</f>
        <v/>
      </c>
      <c r="X82" s="50" t="str">
        <f>IF(AND(OR(LEFT(TH!L82,2)="15",LEFT(TH!M82,2)="15"),'152-CT'!$J$8=TH!F82),"x","")</f>
        <v/>
      </c>
      <c r="Y82" s="50" t="str">
        <f>IF(AND(OR(LEFT(TH!L82,2)="15",LEFT(TH!M82,2)="15"),TK!$E$7=TH!F82),"x","")</f>
        <v/>
      </c>
      <c r="Z82" s="50" t="str">
        <f>IF(AND(B82&lt;=NKC!$N$8,B82&gt;=NKC!$M$8),"x","")</f>
        <v/>
      </c>
      <c r="AA82" s="845"/>
      <c r="AB82" s="581"/>
    </row>
    <row r="83" spans="1:30" s="201" customFormat="1" ht="15.75" customHeight="1">
      <c r="A83" s="846" t="str">
        <f>IF(B83&lt;&gt;"",IF(AND(B83&gt;=_TM1,B83&lt;=_TM2,OR(TH!L83="1111",TH!M83="1111")),TH!D83,""),"")</f>
        <v>C06</v>
      </c>
      <c r="B83" s="36">
        <f>IF(C83&lt;&gt;"",MONTH(C83),"")</f>
        <v>10</v>
      </c>
      <c r="C83" s="187">
        <f>E83</f>
        <v>41207</v>
      </c>
      <c r="D83" s="187" t="s">
        <v>736</v>
      </c>
      <c r="E83" s="180">
        <v>41207</v>
      </c>
      <c r="F83" s="185" t="s">
        <v>730</v>
      </c>
      <c r="G83" s="853" t="s">
        <v>663</v>
      </c>
      <c r="H83" s="7" t="s">
        <v>632</v>
      </c>
      <c r="I83" s="249"/>
      <c r="J83" s="249"/>
      <c r="K83" s="37">
        <v>12818300</v>
      </c>
      <c r="L83" s="190" t="s">
        <v>8</v>
      </c>
      <c r="M83" s="190" t="s">
        <v>47</v>
      </c>
      <c r="N83" s="50" t="str">
        <f>IF(AND('331-CT'!$E$7=TH!H83,OR(L83="331",M83="331")),"331",IF(AND(OR(L83="131",M83="131"),H83='131-CT'!$E$7),"131",""))</f>
        <v>331</v>
      </c>
      <c r="O83" s="50" t="str">
        <f>IF(AND($B83&gt;='111'!$N$11,$B83&lt;='111'!$O$11,OR($L83=$O$7,$M83=$O$7)),"x","")</f>
        <v>x</v>
      </c>
      <c r="P83" s="50" t="str">
        <f>IF(AND($L83=$O$7,$B83&lt;'111'!$N$11),"x","")</f>
        <v/>
      </c>
      <c r="Q83" s="50" t="str">
        <f>IF(AND($M83=$O$7,$B83&lt;'111'!$N$11),"x","")</f>
        <v/>
      </c>
      <c r="R83" s="50" t="str">
        <f>IF(ISERROR(FIND('112'!$M$9,G83,1)),"",IF((AND(FIND('112'!$M$9,G83,1)&gt;=1,$B83&gt;='112'!$N$8,$B83&lt;='112'!$O$8,OR($L83='112'!$I$6,$M83='112'!$I$6))),"x",""))</f>
        <v/>
      </c>
      <c r="S83" s="50" t="str">
        <f>IF(ISERROR(FIND('112'!$M$9,G83,1)),"",IF((AND(LEFT(G83,2)=LEFT('112'!$M$9,2),B83&lt;'112'!$N$8,$L83='112'!$I$6)),"x",""))</f>
        <v/>
      </c>
      <c r="T83" s="50" t="str">
        <f>IF(ISERROR(FIND('112'!$M$9,G83,1)),"",IF((AND(RIGHT(G83,2)=RIGHT('112'!$M$9,2),B83&lt;'112'!$N$8,$M83='112'!$I$6)),"x",""))</f>
        <v/>
      </c>
      <c r="U83" s="50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0" t="str">
        <f>IF(OR(TH!L83=TH!$V$7,M83=TH!$V$7),"x","")</f>
        <v/>
      </c>
      <c r="W83" s="50" t="str">
        <f>IF(AND(B83&gt;='IN-NX'!$P$3,B83&lt;='IN-NX'!$Q$3,'IN-NX'!$D$7=D83,OR(LEFT(L83,2)="15",AND(LEFT(M83,2)&lt;&gt;"15",LEFT(M83,2)&lt;&gt;"33"))),"x","")</f>
        <v/>
      </c>
      <c r="X83" s="50" t="str">
        <f>IF(AND(OR(LEFT(TH!L83,2)="15",LEFT(TH!M83,2)="15"),'152-CT'!$J$8=TH!F83),"x","")</f>
        <v/>
      </c>
      <c r="Y83" s="50" t="str">
        <f>IF(AND(OR(LEFT(TH!L83,2)="15",LEFT(TH!M83,2)="15"),TK!$E$7=TH!F83),"x","")</f>
        <v/>
      </c>
      <c r="Z83" s="50" t="str">
        <f>IF(AND(B83&lt;=NKC!$N$8,B83&gt;=NKC!$M$8),"x","")</f>
        <v/>
      </c>
      <c r="AA83" s="845"/>
      <c r="AB83" s="581"/>
    </row>
    <row r="84" spans="1:30" s="201" customFormat="1" ht="15.75" customHeight="1">
      <c r="A84" s="846" t="str">
        <f>IF(B84&lt;&gt;"",IF(AND(B84&gt;=_TM1,B84&lt;=_TM2,OR(TH!L84="1111",TH!M84="1111")),TH!D84,""),"")</f>
        <v/>
      </c>
      <c r="B84" s="36">
        <f>IF(C84&lt;&gt;"",MONTH(C84),"")</f>
        <v>10</v>
      </c>
      <c r="C84" s="187">
        <f>E84</f>
        <v>41208</v>
      </c>
      <c r="D84" s="187" t="s">
        <v>746</v>
      </c>
      <c r="E84" s="180">
        <v>41208</v>
      </c>
      <c r="F84" s="185" t="s">
        <v>667</v>
      </c>
      <c r="G84" s="853" t="s">
        <v>666</v>
      </c>
      <c r="H84" s="7" t="s">
        <v>632</v>
      </c>
      <c r="I84" s="249">
        <v>505</v>
      </c>
      <c r="J84" s="249">
        <v>12124</v>
      </c>
      <c r="K84" s="37">
        <f>ROUND(I84*J84,0)</f>
        <v>6122620</v>
      </c>
      <c r="L84" s="190" t="s">
        <v>617</v>
      </c>
      <c r="M84" s="190" t="s">
        <v>8</v>
      </c>
      <c r="N84" s="50" t="str">
        <f>IF(AND('331-CT'!$E$7=TH!H84,OR(L84="331",M84="331")),"331",IF(AND(OR(L84="131",M84="131"),H84='131-CT'!$E$7),"131",""))</f>
        <v>331</v>
      </c>
      <c r="O84" s="50" t="str">
        <f>IF(AND($B84&gt;='111'!$N$11,$B84&lt;='111'!$O$11,OR($L84=$O$7,$M84=$O$7)),"x","")</f>
        <v/>
      </c>
      <c r="P84" s="50" t="str">
        <f>IF(AND($L84=$O$7,$B84&lt;'111'!$N$11),"x","")</f>
        <v/>
      </c>
      <c r="Q84" s="50" t="str">
        <f>IF(AND($M84=$O$7,$B84&lt;'111'!$N$11),"x","")</f>
        <v/>
      </c>
      <c r="R84" s="50" t="str">
        <f>IF(ISERROR(FIND('112'!$M$9,G84,1)),"",IF((AND(FIND('112'!$M$9,G84,1)&gt;=1,$B84&gt;='112'!$N$8,$B84&lt;='112'!$O$8,OR($L84='112'!$I$6,$M84='112'!$I$6))),"x",""))</f>
        <v/>
      </c>
      <c r="S84" s="50" t="str">
        <f>IF(ISERROR(FIND('112'!$M$9,G84,1)),"",IF((AND(LEFT(G84,2)=LEFT('112'!$M$9,2),B84&lt;'112'!$N$8,$L84='112'!$I$6)),"x",""))</f>
        <v/>
      </c>
      <c r="T84" s="50" t="str">
        <f>IF(ISERROR(FIND('112'!$M$9,G84,1)),"",IF((AND(RIGHT(G84,2)=RIGHT('112'!$M$9,2),B84&lt;'112'!$N$8,$M84='112'!$I$6)),"x",""))</f>
        <v/>
      </c>
      <c r="U84" s="50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0" t="str">
        <f>IF(OR(TH!L84=TH!$V$7,M84=TH!$V$7),"x","")</f>
        <v/>
      </c>
      <c r="W84" s="50" t="str">
        <f>IF(AND(B84&gt;='IN-NX'!$P$3,B84&lt;='IN-NX'!$Q$3,'IN-NX'!$D$7=D84,OR(LEFT(L84,2)="15",AND(LEFT(M84,2)&lt;&gt;"15",LEFT(M84,2)&lt;&gt;"33"))),"x","")</f>
        <v/>
      </c>
      <c r="X84" s="50" t="str">
        <f>IF(AND(OR(LEFT(TH!L84,2)="15",LEFT(TH!M84,2)="15"),'152-CT'!$J$8=TH!F84),"x","")</f>
        <v/>
      </c>
      <c r="Y84" s="50" t="str">
        <f>IF(AND(OR(LEFT(TH!L84,2)="15",LEFT(TH!M84,2)="15"),TK!$E$7=TH!F84),"x","")</f>
        <v/>
      </c>
      <c r="Z84" s="50" t="str">
        <f>IF(AND(B84&lt;=NKC!$N$8,B84&gt;=NKC!$M$8),"x","")</f>
        <v/>
      </c>
      <c r="AA84" s="845"/>
      <c r="AB84" s="581"/>
    </row>
    <row r="85" spans="1:30" s="201" customFormat="1" ht="15.75" customHeight="1">
      <c r="A85" s="846" t="str">
        <f>IF(B85&lt;&gt;"",IF(AND(B85&gt;=_TM1,B85&lt;=_TM2,OR(TH!L85="1111",TH!M85="1111")),TH!D85,""),"")</f>
        <v/>
      </c>
      <c r="B85" s="36">
        <f>IF(C85&lt;&gt;"",MONTH(C85),"")</f>
        <v>10</v>
      </c>
      <c r="C85" s="187">
        <f>E85</f>
        <v>41208</v>
      </c>
      <c r="D85" s="187" t="s">
        <v>746</v>
      </c>
      <c r="E85" s="180">
        <v>41208</v>
      </c>
      <c r="F85" s="185" t="s">
        <v>634</v>
      </c>
      <c r="G85" s="853" t="s">
        <v>666</v>
      </c>
      <c r="H85" s="7" t="s">
        <v>632</v>
      </c>
      <c r="I85" s="249"/>
      <c r="J85" s="249"/>
      <c r="K85" s="37">
        <v>612262</v>
      </c>
      <c r="L85" s="190" t="s">
        <v>9</v>
      </c>
      <c r="M85" s="190" t="s">
        <v>8</v>
      </c>
      <c r="N85" s="50" t="str">
        <f>IF(AND('331-CT'!$E$7=TH!H85,OR(L85="331",M85="331")),"331",IF(AND(OR(L85="131",M85="131"),H85='131-CT'!$E$7),"131",""))</f>
        <v>331</v>
      </c>
      <c r="O85" s="50" t="str">
        <f>IF(AND($B85&gt;='111'!$N$11,$B85&lt;='111'!$O$11,OR($L85=$O$7,$M85=$O$7)),"x","")</f>
        <v/>
      </c>
      <c r="P85" s="50" t="str">
        <f>IF(AND($L85=$O$7,$B85&lt;'111'!$N$11),"x","")</f>
        <v/>
      </c>
      <c r="Q85" s="50" t="str">
        <f>IF(AND($M85=$O$7,$B85&lt;'111'!$N$11),"x","")</f>
        <v/>
      </c>
      <c r="R85" s="50" t="str">
        <f>IF(ISERROR(FIND('112'!$M$9,G85,1)),"",IF((AND(FIND('112'!$M$9,G85,1)&gt;=1,$B85&gt;='112'!$N$8,$B85&lt;='112'!$O$8,OR($L85='112'!$I$6,$M85='112'!$I$6))),"x",""))</f>
        <v/>
      </c>
      <c r="S85" s="50" t="str">
        <f>IF(ISERROR(FIND('112'!$M$9,G85,1)),"",IF((AND(LEFT(G85,2)=LEFT('112'!$M$9,2),B85&lt;'112'!$N$8,$L85='112'!$I$6)),"x",""))</f>
        <v/>
      </c>
      <c r="T85" s="50" t="str">
        <f>IF(ISERROR(FIND('112'!$M$9,G85,1)),"",IF((AND(RIGHT(G85,2)=RIGHT('112'!$M$9,2),B85&lt;'112'!$N$8,$M85='112'!$I$6)),"x",""))</f>
        <v/>
      </c>
      <c r="U85" s="50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0" t="str">
        <f>IF(OR(TH!L85=TH!$V$7,M85=TH!$V$7),"x","")</f>
        <v/>
      </c>
      <c r="W85" s="50" t="str">
        <f>IF(AND(B85&gt;='IN-NX'!$P$3,B85&lt;='IN-NX'!$Q$3,'IN-NX'!$D$7=D85,OR(LEFT(L85,2)="15",AND(LEFT(M85,2)&lt;&gt;"15",LEFT(M85,2)&lt;&gt;"33"))),"x","")</f>
        <v/>
      </c>
      <c r="X85" s="50" t="str">
        <f>IF(AND(OR(LEFT(TH!L85,2)="15",LEFT(TH!M85,2)="15"),'152-CT'!$J$8=TH!F85),"x","")</f>
        <v/>
      </c>
      <c r="Y85" s="50" t="str">
        <f>IF(AND(OR(LEFT(TH!L85,2)="15",LEFT(TH!M85,2)="15"),TK!$E$7=TH!F85),"x","")</f>
        <v/>
      </c>
      <c r="Z85" s="50" t="str">
        <f>IF(AND(B85&lt;=NKC!$N$8,B85&gt;=NKC!$M$8),"x","")</f>
        <v/>
      </c>
      <c r="AA85" s="845"/>
      <c r="AB85" s="581"/>
    </row>
    <row r="86" spans="1:30" s="201" customFormat="1" ht="15.75" customHeight="1">
      <c r="A86" s="846" t="str">
        <f>IF(B86&lt;&gt;"",IF(AND(B86&gt;=_TM1,B86&lt;=_TM2,OR(TH!L86="1111",TH!M86="1111")),TH!D86,""),"")</f>
        <v>C07</v>
      </c>
      <c r="B86" s="36">
        <f>IF(C86&lt;&gt;"",MONTH(C86),"")</f>
        <v>10</v>
      </c>
      <c r="C86" s="187">
        <f>E86</f>
        <v>41208</v>
      </c>
      <c r="D86" s="187" t="s">
        <v>737</v>
      </c>
      <c r="E86" s="180">
        <v>41208</v>
      </c>
      <c r="F86" s="185" t="s">
        <v>730</v>
      </c>
      <c r="G86" s="853" t="s">
        <v>666</v>
      </c>
      <c r="H86" s="7" t="s">
        <v>632</v>
      </c>
      <c r="I86" s="249"/>
      <c r="J86" s="249"/>
      <c r="K86" s="37">
        <v>6734882</v>
      </c>
      <c r="L86" s="190" t="s">
        <v>8</v>
      </c>
      <c r="M86" s="190" t="s">
        <v>47</v>
      </c>
      <c r="N86" s="50" t="str">
        <f>IF(AND('331-CT'!$E$7=TH!H86,OR(L86="331",M86="331")),"331",IF(AND(OR(L86="131",M86="131"),H86='131-CT'!$E$7),"131",""))</f>
        <v>331</v>
      </c>
      <c r="O86" s="50" t="str">
        <f>IF(AND($B86&gt;='111'!$N$11,$B86&lt;='111'!$O$11,OR($L86=$O$7,$M86=$O$7)),"x","")</f>
        <v>x</v>
      </c>
      <c r="P86" s="50" t="str">
        <f>IF(AND($L86=$O$7,$B86&lt;'111'!$N$11),"x","")</f>
        <v/>
      </c>
      <c r="Q86" s="50" t="str">
        <f>IF(AND($M86=$O$7,$B86&lt;'111'!$N$11),"x","")</f>
        <v/>
      </c>
      <c r="R86" s="50" t="str">
        <f>IF(ISERROR(FIND('112'!$M$9,G86,1)),"",IF((AND(FIND('112'!$M$9,G86,1)&gt;=1,$B86&gt;='112'!$N$8,$B86&lt;='112'!$O$8,OR($L86='112'!$I$6,$M86='112'!$I$6))),"x",""))</f>
        <v/>
      </c>
      <c r="S86" s="50" t="str">
        <f>IF(ISERROR(FIND('112'!$M$9,G86,1)),"",IF((AND(LEFT(G86,2)=LEFT('112'!$M$9,2),B86&lt;'112'!$N$8,$L86='112'!$I$6)),"x",""))</f>
        <v/>
      </c>
      <c r="T86" s="50" t="str">
        <f>IF(ISERROR(FIND('112'!$M$9,G86,1)),"",IF((AND(RIGHT(G86,2)=RIGHT('112'!$M$9,2),B86&lt;'112'!$N$8,$M86='112'!$I$6)),"x",""))</f>
        <v/>
      </c>
      <c r="U86" s="50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0" t="str">
        <f>IF(OR(TH!L86=TH!$V$7,M86=TH!$V$7),"x","")</f>
        <v/>
      </c>
      <c r="W86" s="50" t="str">
        <f>IF(AND(B86&gt;='IN-NX'!$P$3,B86&lt;='IN-NX'!$Q$3,'IN-NX'!$D$7=D86,OR(LEFT(L86,2)="15",AND(LEFT(M86,2)&lt;&gt;"15",LEFT(M86,2)&lt;&gt;"33"))),"x","")</f>
        <v/>
      </c>
      <c r="X86" s="50" t="str">
        <f>IF(AND(OR(LEFT(TH!L86,2)="15",LEFT(TH!M86,2)="15"),'152-CT'!$J$8=TH!F86),"x","")</f>
        <v/>
      </c>
      <c r="Y86" s="50" t="str">
        <f>IF(AND(OR(LEFT(TH!L86,2)="15",LEFT(TH!M86,2)="15"),TK!$E$7=TH!F86),"x","")</f>
        <v/>
      </c>
      <c r="Z86" s="50" t="str">
        <f>IF(AND(B86&lt;=NKC!$N$8,B86&gt;=NKC!$M$8),"x","")</f>
        <v/>
      </c>
      <c r="AA86" s="845"/>
      <c r="AB86" s="581"/>
    </row>
    <row r="87" spans="1:30" s="201" customFormat="1" ht="15.75" customHeight="1">
      <c r="A87" s="846" t="str">
        <f>IF(B87&lt;&gt;"",IF(AND(B87&gt;=_TM1,B87&lt;=_TM2,OR(TH!L87="1111",TH!M87="1111")),TH!D87,""),"")</f>
        <v/>
      </c>
      <c r="B87" s="36">
        <f>IF(C87&lt;&gt;"",MONTH(C87),"")</f>
        <v>10</v>
      </c>
      <c r="C87" s="187">
        <f>E87</f>
        <v>41209</v>
      </c>
      <c r="D87" s="187" t="s">
        <v>747</v>
      </c>
      <c r="E87" s="180">
        <v>41209</v>
      </c>
      <c r="F87" s="185" t="s">
        <v>657</v>
      </c>
      <c r="G87" s="853" t="s">
        <v>656</v>
      </c>
      <c r="H87" s="7" t="s">
        <v>655</v>
      </c>
      <c r="I87" s="249">
        <v>1000</v>
      </c>
      <c r="J87" s="249">
        <v>12319</v>
      </c>
      <c r="K87" s="37">
        <f>ROUND(I87*J87,0)</f>
        <v>12319000</v>
      </c>
      <c r="L87" s="190" t="s">
        <v>617</v>
      </c>
      <c r="M87" s="190" t="s">
        <v>8</v>
      </c>
      <c r="N87" s="50" t="str">
        <f>IF(AND('331-CT'!$E$7=TH!H87,OR(L87="331",M87="331")),"331",IF(AND(OR(L87="131",M87="131"),H87='131-CT'!$E$7),"131",""))</f>
        <v/>
      </c>
      <c r="O87" s="50" t="str">
        <f>IF(AND($B87&gt;='111'!$N$11,$B87&lt;='111'!$O$11,OR($L87=$O$7,$M87=$O$7)),"x","")</f>
        <v/>
      </c>
      <c r="P87" s="50" t="str">
        <f>IF(AND($L87=$O$7,$B87&lt;'111'!$N$11),"x","")</f>
        <v/>
      </c>
      <c r="Q87" s="50" t="str">
        <f>IF(AND($M87=$O$7,$B87&lt;'111'!$N$11),"x","")</f>
        <v/>
      </c>
      <c r="R87" s="50" t="str">
        <f>IF(ISERROR(FIND('112'!$M$9,G87,1)),"",IF((AND(FIND('112'!$M$9,G87,1)&gt;=1,$B87&gt;='112'!$N$8,$B87&lt;='112'!$O$8,OR($L87='112'!$I$6,$M87='112'!$I$6))),"x",""))</f>
        <v/>
      </c>
      <c r="S87" s="50" t="str">
        <f>IF(ISERROR(FIND('112'!$M$9,G87,1)),"",IF((AND(LEFT(G87,2)=LEFT('112'!$M$9,2),B87&lt;'112'!$N$8,$L87='112'!$I$6)),"x",""))</f>
        <v/>
      </c>
      <c r="T87" s="50" t="str">
        <f>IF(ISERROR(FIND('112'!$M$9,G87,1)),"",IF((AND(RIGHT(G87,2)=RIGHT('112'!$M$9,2),B87&lt;'112'!$N$8,$M87='112'!$I$6)),"x",""))</f>
        <v/>
      </c>
      <c r="U87" s="50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0" t="str">
        <f>IF(OR(TH!L87=TH!$V$7,M87=TH!$V$7),"x","")</f>
        <v/>
      </c>
      <c r="W87" s="50" t="str">
        <f>IF(AND(B87&gt;='IN-NX'!$P$3,B87&lt;='IN-NX'!$Q$3,'IN-NX'!$D$7=D87,OR(LEFT(L87,2)="15",AND(LEFT(M87,2)&lt;&gt;"15",LEFT(M87,2)&lt;&gt;"33"))),"x","")</f>
        <v/>
      </c>
      <c r="X87" s="50" t="str">
        <f>IF(AND(OR(LEFT(TH!L87,2)="15",LEFT(TH!M87,2)="15"),'152-CT'!$J$8=TH!F87),"x","")</f>
        <v/>
      </c>
      <c r="Y87" s="50" t="str">
        <f>IF(AND(OR(LEFT(TH!L87,2)="15",LEFT(TH!M87,2)="15"),TK!$E$7=TH!F87),"x","")</f>
        <v>x</v>
      </c>
      <c r="Z87" s="50" t="str">
        <f>IF(AND(B87&lt;=NKC!$N$8,B87&gt;=NKC!$M$8),"x","")</f>
        <v/>
      </c>
      <c r="AA87" s="845"/>
      <c r="AB87" s="581"/>
    </row>
    <row r="88" spans="1:30" s="201" customFormat="1" ht="15.75" customHeight="1">
      <c r="A88" s="846" t="str">
        <f>IF(B88&lt;&gt;"",IF(AND(B88&gt;=_TM1,B88&lt;=_TM2,OR(TH!L88="1111",TH!M88="1111")),TH!D88,""),"")</f>
        <v/>
      </c>
      <c r="B88" s="36">
        <f>IF(C88&lt;&gt;"",MONTH(C88),"")</f>
        <v>10</v>
      </c>
      <c r="C88" s="187">
        <f>E88</f>
        <v>41209</v>
      </c>
      <c r="D88" s="187" t="s">
        <v>747</v>
      </c>
      <c r="E88" s="180">
        <v>41209</v>
      </c>
      <c r="F88" s="185" t="s">
        <v>615</v>
      </c>
      <c r="G88" s="853" t="s">
        <v>656</v>
      </c>
      <c r="H88" s="7" t="s">
        <v>655</v>
      </c>
      <c r="I88" s="249"/>
      <c r="J88" s="249"/>
      <c r="K88" s="37">
        <v>1231900</v>
      </c>
      <c r="L88" s="190" t="s">
        <v>9</v>
      </c>
      <c r="M88" s="190" t="s">
        <v>8</v>
      </c>
      <c r="N88" s="50" t="str">
        <f>IF(AND('331-CT'!$E$7=TH!H88,OR(L88="331",M88="331")),"331",IF(AND(OR(L88="131",M88="131"),H88='131-CT'!$E$7),"131",""))</f>
        <v/>
      </c>
      <c r="O88" s="50" t="str">
        <f>IF(AND($B88&gt;='111'!$N$11,$B88&lt;='111'!$O$11,OR($L88=$O$7,$M88=$O$7)),"x","")</f>
        <v/>
      </c>
      <c r="P88" s="50" t="str">
        <f>IF(AND($L88=$O$7,$B88&lt;'111'!$N$11),"x","")</f>
        <v/>
      </c>
      <c r="Q88" s="50" t="str">
        <f>IF(AND($M88=$O$7,$B88&lt;'111'!$N$11),"x","")</f>
        <v/>
      </c>
      <c r="R88" s="50" t="str">
        <f>IF(ISERROR(FIND('112'!$M$9,G88,1)),"",IF((AND(FIND('112'!$M$9,G88,1)&gt;=1,$B88&gt;='112'!$N$8,$B88&lt;='112'!$O$8,OR($L88='112'!$I$6,$M88='112'!$I$6))),"x",""))</f>
        <v/>
      </c>
      <c r="S88" s="50" t="str">
        <f>IF(ISERROR(FIND('112'!$M$9,G88,1)),"",IF((AND(LEFT(G88,2)=LEFT('112'!$M$9,2),B88&lt;'112'!$N$8,$L88='112'!$I$6)),"x",""))</f>
        <v/>
      </c>
      <c r="T88" s="50" t="str">
        <f>IF(ISERROR(FIND('112'!$M$9,G88,1)),"",IF((AND(RIGHT(G88,2)=RIGHT('112'!$M$9,2),B88&lt;'112'!$N$8,$M88='112'!$I$6)),"x",""))</f>
        <v/>
      </c>
      <c r="U88" s="50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0" t="str">
        <f>IF(OR(TH!L88=TH!$V$7,M88=TH!$V$7),"x","")</f>
        <v/>
      </c>
      <c r="W88" s="50" t="str">
        <f>IF(AND(B88&gt;='IN-NX'!$P$3,B88&lt;='IN-NX'!$Q$3,'IN-NX'!$D$7=D88,OR(LEFT(L88,2)="15",AND(LEFT(M88,2)&lt;&gt;"15",LEFT(M88,2)&lt;&gt;"33"))),"x","")</f>
        <v/>
      </c>
      <c r="X88" s="50" t="str">
        <f>IF(AND(OR(LEFT(TH!L88,2)="15",LEFT(TH!M88,2)="15"),'152-CT'!$J$8=TH!F88),"x","")</f>
        <v/>
      </c>
      <c r="Y88" s="50" t="str">
        <f>IF(AND(OR(LEFT(TH!L88,2)="15",LEFT(TH!M88,2)="15"),TK!$E$7=TH!F88),"x","")</f>
        <v/>
      </c>
      <c r="Z88" s="50" t="str">
        <f>IF(AND(B88&lt;=NKC!$N$8,B88&gt;=NKC!$M$8),"x","")</f>
        <v/>
      </c>
      <c r="AA88" s="845"/>
      <c r="AB88" s="581"/>
    </row>
    <row r="89" spans="1:30" s="201" customFormat="1" ht="15.75" customHeight="1">
      <c r="A89" s="846" t="str">
        <f>IF(B89&lt;&gt;"",IF(AND(B89&gt;=_TM1,B89&lt;=_TM2,OR(TH!L89="1111",TH!M89="1111")),TH!D89,""),"")</f>
        <v>C08</v>
      </c>
      <c r="B89" s="36">
        <f>IF(C89&lt;&gt;"",MONTH(C89),"")</f>
        <v>10</v>
      </c>
      <c r="C89" s="187">
        <f>E89</f>
        <v>41209</v>
      </c>
      <c r="D89" s="187" t="s">
        <v>738</v>
      </c>
      <c r="E89" s="180">
        <v>41209</v>
      </c>
      <c r="F89" s="185" t="s">
        <v>730</v>
      </c>
      <c r="G89" s="853" t="s">
        <v>656</v>
      </c>
      <c r="H89" s="7" t="s">
        <v>655</v>
      </c>
      <c r="I89" s="249"/>
      <c r="J89" s="249"/>
      <c r="K89" s="37">
        <v>13550900</v>
      </c>
      <c r="L89" s="190" t="s">
        <v>8</v>
      </c>
      <c r="M89" s="190" t="s">
        <v>47</v>
      </c>
      <c r="N89" s="50" t="str">
        <f>IF(AND('331-CT'!$E$7=TH!H89,OR(L89="331",M89="331")),"331",IF(AND(OR(L89="131",M89="131"),H89='131-CT'!$E$7),"131",""))</f>
        <v/>
      </c>
      <c r="O89" s="50" t="str">
        <f>IF(AND($B89&gt;='111'!$N$11,$B89&lt;='111'!$O$11,OR($L89=$O$7,$M89=$O$7)),"x","")</f>
        <v>x</v>
      </c>
      <c r="P89" s="50" t="str">
        <f>IF(AND($L89=$O$7,$B89&lt;'111'!$N$11),"x","")</f>
        <v/>
      </c>
      <c r="Q89" s="50" t="str">
        <f>IF(AND($M89=$O$7,$B89&lt;'111'!$N$11),"x","")</f>
        <v/>
      </c>
      <c r="R89" s="50" t="str">
        <f>IF(ISERROR(FIND('112'!$M$9,G89,1)),"",IF((AND(FIND('112'!$M$9,G89,1)&gt;=1,$B89&gt;='112'!$N$8,$B89&lt;='112'!$O$8,OR($L89='112'!$I$6,$M89='112'!$I$6))),"x",""))</f>
        <v/>
      </c>
      <c r="S89" s="50" t="str">
        <f>IF(ISERROR(FIND('112'!$M$9,G89,1)),"",IF((AND(LEFT(G89,2)=LEFT('112'!$M$9,2),B89&lt;'112'!$N$8,$L89='112'!$I$6)),"x",""))</f>
        <v/>
      </c>
      <c r="T89" s="50" t="str">
        <f>IF(ISERROR(FIND('112'!$M$9,G89,1)),"",IF((AND(RIGHT(G89,2)=RIGHT('112'!$M$9,2),B89&lt;'112'!$N$8,$M89='112'!$I$6)),"x",""))</f>
        <v/>
      </c>
      <c r="U89" s="50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0" t="str">
        <f>IF(OR(TH!L89=TH!$V$7,M89=TH!$V$7),"x","")</f>
        <v/>
      </c>
      <c r="W89" s="50" t="str">
        <f>IF(AND(B89&gt;='IN-NX'!$P$3,B89&lt;='IN-NX'!$Q$3,'IN-NX'!$D$7=D89,OR(LEFT(L89,2)="15",AND(LEFT(M89,2)&lt;&gt;"15",LEFT(M89,2)&lt;&gt;"33"))),"x","")</f>
        <v/>
      </c>
      <c r="X89" s="50" t="str">
        <f>IF(AND(OR(LEFT(TH!L89,2)="15",LEFT(TH!M89,2)="15"),'152-CT'!$J$8=TH!F89),"x","")</f>
        <v/>
      </c>
      <c r="Y89" s="50" t="str">
        <f>IF(AND(OR(LEFT(TH!L89,2)="15",LEFT(TH!M89,2)="15"),TK!$E$7=TH!F89),"x","")</f>
        <v/>
      </c>
      <c r="Z89" s="50" t="str">
        <f>IF(AND(B89&lt;=NKC!$N$8,B89&gt;=NKC!$M$8),"x","")</f>
        <v/>
      </c>
      <c r="AA89" s="845"/>
      <c r="AB89" s="581"/>
    </row>
    <row r="90" spans="1:30" s="201" customFormat="1" ht="15.75" customHeight="1">
      <c r="A90" s="846" t="str">
        <f>IF(B90&lt;&gt;"",IF(AND(B90&gt;=_TM1,B90&lt;=_TM2,OR(TH!L90="1111",TH!M90="1111")),TH!D90,""),"")</f>
        <v>C09</v>
      </c>
      <c r="B90" s="36">
        <f>IF(C90&lt;&gt;"",MONTH(C90),"")</f>
        <v>10</v>
      </c>
      <c r="C90" s="187">
        <f>E90</f>
        <v>41211</v>
      </c>
      <c r="D90" s="187" t="s">
        <v>739</v>
      </c>
      <c r="E90" s="180">
        <v>41211</v>
      </c>
      <c r="F90" s="188" t="s">
        <v>451</v>
      </c>
      <c r="G90" s="853" t="s">
        <v>661</v>
      </c>
      <c r="H90" s="7" t="s">
        <v>662</v>
      </c>
      <c r="I90" s="249"/>
      <c r="J90" s="249"/>
      <c r="K90" s="37">
        <v>1400000</v>
      </c>
      <c r="L90" s="190" t="s">
        <v>167</v>
      </c>
      <c r="M90" s="190" t="s">
        <v>47</v>
      </c>
      <c r="N90" s="50" t="str">
        <f>IF(AND('331-CT'!$E$7=TH!H90,OR(L90="331",M90="331")),"331",IF(AND(OR(L90="131",M90="131"),H90='131-CT'!$E$7),"131",""))</f>
        <v/>
      </c>
      <c r="O90" s="50" t="str">
        <f>IF(AND($B90&gt;='111'!$N$11,$B90&lt;='111'!$O$11,OR($L90=$O$7,$M90=$O$7)),"x","")</f>
        <v>x</v>
      </c>
      <c r="P90" s="50" t="str">
        <f>IF(AND($L90=$O$7,$B90&lt;'111'!$N$11),"x","")</f>
        <v/>
      </c>
      <c r="Q90" s="50" t="str">
        <f>IF(AND($M90=$O$7,$B90&lt;'111'!$N$11),"x","")</f>
        <v/>
      </c>
      <c r="R90" s="50" t="str">
        <f>IF(ISERROR(FIND('112'!$M$9,G90,1)),"",IF((AND(FIND('112'!$M$9,G90,1)&gt;=1,$B90&gt;='112'!$N$8,$B90&lt;='112'!$O$8,OR($L90='112'!$I$6,$M90='112'!$I$6))),"x",""))</f>
        <v/>
      </c>
      <c r="S90" s="50" t="str">
        <f>IF(ISERROR(FIND('112'!$M$9,G90,1)),"",IF((AND(LEFT(G90,2)=LEFT('112'!$M$9,2),B90&lt;'112'!$N$8,$L90='112'!$I$6)),"x",""))</f>
        <v/>
      </c>
      <c r="T90" s="50" t="str">
        <f>IF(ISERROR(FIND('112'!$M$9,G90,1)),"",IF((AND(RIGHT(G90,2)=RIGHT('112'!$M$9,2),B90&lt;'112'!$N$8,$M90='112'!$I$6)),"x",""))</f>
        <v/>
      </c>
      <c r="U90" s="50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0" t="str">
        <f>IF(OR(TH!L90=TH!$V$7,M90=TH!$V$7),"x","")</f>
        <v/>
      </c>
      <c r="W90" s="50" t="str">
        <f>IF(AND(B90&gt;='IN-NX'!$P$3,B90&lt;='IN-NX'!$Q$3,'IN-NX'!$D$7=D90,OR(LEFT(L90,2)="15",AND(LEFT(M90,2)&lt;&gt;"15",LEFT(M90,2)&lt;&gt;"33"))),"x","")</f>
        <v/>
      </c>
      <c r="X90" s="50" t="str">
        <f>IF(AND(OR(LEFT(TH!L90,2)="15",LEFT(TH!M90,2)="15"),'152-CT'!$J$8=TH!F90),"x","")</f>
        <v/>
      </c>
      <c r="Y90" s="50" t="str">
        <f>IF(AND(OR(LEFT(TH!L90,2)="15",LEFT(TH!M90,2)="15"),TK!$E$7=TH!F90),"x","")</f>
        <v/>
      </c>
      <c r="Z90" s="50" t="str">
        <f>IF(AND(B90&lt;=NKC!$N$8,B90&gt;=NKC!$M$8),"x","")</f>
        <v/>
      </c>
      <c r="AA90" s="845"/>
      <c r="AB90" s="581"/>
    </row>
    <row r="91" spans="1:30" s="201" customFormat="1" ht="15.75" customHeight="1">
      <c r="A91" s="846" t="str">
        <f>IF(B91&lt;&gt;"",IF(AND(B91&gt;=_TM1,B91&lt;=_TM2,OR(TH!L91="1111",TH!M91="1111")),TH!D91,""),"")</f>
        <v>T02</v>
      </c>
      <c r="B91" s="36">
        <f>IF(C91&lt;&gt;"",MONTH(C91),"")</f>
        <v>11</v>
      </c>
      <c r="C91" s="187">
        <f>E91</f>
        <v>41214</v>
      </c>
      <c r="D91" s="180" t="s">
        <v>377</v>
      </c>
      <c r="E91" s="180">
        <v>41214</v>
      </c>
      <c r="F91" s="185" t="s">
        <v>721</v>
      </c>
      <c r="G91" s="853" t="s">
        <v>616</v>
      </c>
      <c r="H91" s="189" t="s">
        <v>727</v>
      </c>
      <c r="I91" s="249"/>
      <c r="J91" s="249"/>
      <c r="K91" s="589">
        <v>31000000</v>
      </c>
      <c r="L91" s="590" t="s">
        <v>47</v>
      </c>
      <c r="M91" s="590" t="s">
        <v>24</v>
      </c>
      <c r="N91" s="50" t="str">
        <f>IF(AND('331-CT'!$E$7=TH!H91,OR(L91="331",M91="331")),"331",IF(AND(OR(L91="131",M91="131"),H91='131-CT'!$E$7),"131",""))</f>
        <v/>
      </c>
      <c r="O91" s="50" t="str">
        <f>IF(AND($B91&gt;='111'!$N$11,$B91&lt;='111'!$O$11,OR($L91=$O$7,$M91=$O$7)),"x","")</f>
        <v>x</v>
      </c>
      <c r="P91" s="50" t="str">
        <f>IF(AND($L91=$O$7,$B91&lt;'111'!$N$11),"x","")</f>
        <v/>
      </c>
      <c r="Q91" s="50" t="str">
        <f>IF(AND($M91=$O$7,$B91&lt;'111'!$N$11),"x","")</f>
        <v/>
      </c>
      <c r="R91" s="50" t="str">
        <f>IF(ISERROR(FIND('112'!$M$9,G91,1)),"",IF((AND(FIND('112'!$M$9,G91,1)&gt;=1,$B91&gt;='112'!$N$8,$B91&lt;='112'!$O$8,OR($L91='112'!$I$6,$M91='112'!$I$6))),"x",""))</f>
        <v>x</v>
      </c>
      <c r="S91" s="50" t="str">
        <f>IF(ISERROR(FIND('112'!$M$9,G91,1)),"",IF((AND(LEFT(G91,2)=LEFT('112'!$M$9,2),B91&lt;'112'!$N$8,$L91='112'!$I$6)),"x",""))</f>
        <v/>
      </c>
      <c r="T91" s="50" t="str">
        <f>IF(ISERROR(FIND('112'!$M$9,G91,1)),"",IF((AND(RIGHT(G91,2)=RIGHT('112'!$M$9,2),B91&lt;'112'!$N$8,$M91='112'!$I$6)),"x",""))</f>
        <v/>
      </c>
      <c r="U91" s="50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0" t="str">
        <f>IF(OR(TH!L91=TH!$V$7,M91=TH!$V$7),"x","")</f>
        <v/>
      </c>
      <c r="W91" s="50" t="str">
        <f>IF(AND(B91&gt;='IN-NX'!$P$3,B91&lt;='IN-NX'!$Q$3,'IN-NX'!$D$7=D91,OR(LEFT(L91,2)="15",AND(LEFT(M91,2)&lt;&gt;"15",LEFT(M91,2)&lt;&gt;"33"))),"x","")</f>
        <v/>
      </c>
      <c r="X91" s="50" t="str">
        <f>IF(AND(OR(LEFT(TH!L91,2)="15",LEFT(TH!M91,2)="15"),'152-CT'!$J$8=TH!F91),"x","")</f>
        <v/>
      </c>
      <c r="Y91" s="50" t="str">
        <f>IF(AND(OR(LEFT(TH!L91,2)="15",LEFT(TH!M91,2)="15"),TK!$E$7=TH!F91),"x","")</f>
        <v/>
      </c>
      <c r="Z91" s="50" t="str">
        <f>IF(AND(B91&lt;=NKC!$N$8,B91&gt;=NKC!$M$8),"x","")</f>
        <v/>
      </c>
      <c r="AA91" s="845"/>
      <c r="AB91" s="581"/>
      <c r="AC91" s="581"/>
      <c r="AD91" s="581"/>
    </row>
    <row r="92" spans="1:30" s="201" customFormat="1" ht="15.75" customHeight="1">
      <c r="A92" s="846" t="str">
        <f>IF(B92&lt;&gt;"",IF(AND(B92&gt;=_TM1,B92&lt;=_TM2,OR(TH!L92="1111",TH!M92="1111")),TH!D92,""),"")</f>
        <v/>
      </c>
      <c r="B92" s="36">
        <f>IF(C92&lt;&gt;"",MONTH(C92),"")</f>
        <v>11</v>
      </c>
      <c r="C92" s="187">
        <f>E92</f>
        <v>41215</v>
      </c>
      <c r="D92" s="187" t="s">
        <v>748</v>
      </c>
      <c r="E92" s="180">
        <v>41215</v>
      </c>
      <c r="F92" s="185" t="s">
        <v>668</v>
      </c>
      <c r="G92" s="853" t="s">
        <v>688</v>
      </c>
      <c r="H92" s="7" t="s">
        <v>632</v>
      </c>
      <c r="I92" s="249">
        <v>1000</v>
      </c>
      <c r="J92" s="249">
        <v>12750</v>
      </c>
      <c r="K92" s="37">
        <f>ROUND(I92*J92,0)</f>
        <v>12750000</v>
      </c>
      <c r="L92" s="190" t="s">
        <v>617</v>
      </c>
      <c r="M92" s="190" t="s">
        <v>8</v>
      </c>
      <c r="N92" s="50" t="str">
        <f>IF(AND('331-CT'!$E$7=TH!H92,OR(L92="331",M92="331")),"331",IF(AND(OR(L92="131",M92="131"),H92='131-CT'!$E$7),"131",""))</f>
        <v>331</v>
      </c>
      <c r="O92" s="50" t="str">
        <f>IF(AND($B92&gt;='111'!$N$11,$B92&lt;='111'!$O$11,OR($L92=$O$7,$M92=$O$7)),"x","")</f>
        <v/>
      </c>
      <c r="P92" s="50" t="str">
        <f>IF(AND($L92=$O$7,$B92&lt;'111'!$N$11),"x","")</f>
        <v/>
      </c>
      <c r="Q92" s="50" t="str">
        <f>IF(AND($M92=$O$7,$B92&lt;'111'!$N$11),"x","")</f>
        <v/>
      </c>
      <c r="R92" s="50" t="str">
        <f>IF(ISERROR(FIND('112'!$M$9,G92,1)),"",IF((AND(FIND('112'!$M$9,G92,1)&gt;=1,$B92&gt;='112'!$N$8,$B92&lt;='112'!$O$8,OR($L92='112'!$I$6,$M92='112'!$I$6))),"x",""))</f>
        <v/>
      </c>
      <c r="S92" s="50" t="str">
        <f>IF(ISERROR(FIND('112'!$M$9,G92,1)),"",IF((AND(LEFT(G92,2)=LEFT('112'!$M$9,2),B92&lt;'112'!$N$8,$L92='112'!$I$6)),"x",""))</f>
        <v/>
      </c>
      <c r="T92" s="50" t="str">
        <f>IF(ISERROR(FIND('112'!$M$9,G92,1)),"",IF((AND(RIGHT(G92,2)=RIGHT('112'!$M$9,2),B92&lt;'112'!$N$8,$M92='112'!$I$6)),"x",""))</f>
        <v/>
      </c>
      <c r="U92" s="50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0" t="str">
        <f>IF(OR(TH!L92=TH!$V$7,M92=TH!$V$7),"x","")</f>
        <v/>
      </c>
      <c r="W92" s="50" t="str">
        <f>IF(AND(B92&gt;='IN-NX'!$P$3,B92&lt;='IN-NX'!$Q$3,'IN-NX'!$D$7=D92,OR(LEFT(L92,2)="15",AND(LEFT(M92,2)&lt;&gt;"15",LEFT(M92,2)&lt;&gt;"33"))),"x","")</f>
        <v/>
      </c>
      <c r="X92" s="50" t="str">
        <f>IF(AND(OR(LEFT(TH!L92,2)="15",LEFT(TH!M92,2)="15"),'152-CT'!$J$8=TH!F92),"x","")</f>
        <v/>
      </c>
      <c r="Y92" s="50" t="str">
        <f>IF(AND(OR(LEFT(TH!L92,2)="15",LEFT(TH!M92,2)="15"),TK!$E$7=TH!F92),"x","")</f>
        <v/>
      </c>
      <c r="Z92" s="50" t="str">
        <f>IF(AND(B92&lt;=NKC!$N$8,B92&gt;=NKC!$M$8),"x","")</f>
        <v/>
      </c>
      <c r="AA92" s="845"/>
    </row>
    <row r="93" spans="1:30" s="201" customFormat="1" ht="15.75" customHeight="1">
      <c r="A93" s="846" t="str">
        <f>IF(B93&lt;&gt;"",IF(AND(B93&gt;=_TM1,B93&lt;=_TM2,OR(TH!L93="1111",TH!M93="1111")),TH!D93,""),"")</f>
        <v/>
      </c>
      <c r="B93" s="36">
        <f>IF(C93&lt;&gt;"",MONTH(C93),"")</f>
        <v>11</v>
      </c>
      <c r="C93" s="187">
        <f>E93</f>
        <v>41215</v>
      </c>
      <c r="D93" s="187" t="s">
        <v>748</v>
      </c>
      <c r="E93" s="180">
        <v>41215</v>
      </c>
      <c r="F93" s="185" t="s">
        <v>634</v>
      </c>
      <c r="G93" s="853" t="s">
        <v>688</v>
      </c>
      <c r="H93" s="7" t="s">
        <v>632</v>
      </c>
      <c r="I93" s="249"/>
      <c r="J93" s="249"/>
      <c r="K93" s="37">
        <v>1275000</v>
      </c>
      <c r="L93" s="190" t="s">
        <v>9</v>
      </c>
      <c r="M93" s="190" t="s">
        <v>8</v>
      </c>
      <c r="N93" s="50" t="str">
        <f>IF(AND('331-CT'!$E$7=TH!H93,OR(L93="331",M93="331")),"331",IF(AND(OR(L93="131",M93="131"),H93='131-CT'!$E$7),"131",""))</f>
        <v>331</v>
      </c>
      <c r="O93" s="50" t="str">
        <f>IF(AND($B93&gt;='111'!$N$11,$B93&lt;='111'!$O$11,OR($L93=$O$7,$M93=$O$7)),"x","")</f>
        <v/>
      </c>
      <c r="P93" s="50" t="str">
        <f>IF(AND($L93=$O$7,$B93&lt;'111'!$N$11),"x","")</f>
        <v/>
      </c>
      <c r="Q93" s="50" t="str">
        <f>IF(AND($M93=$O$7,$B93&lt;'111'!$N$11),"x","")</f>
        <v/>
      </c>
      <c r="R93" s="50" t="str">
        <f>IF(ISERROR(FIND('112'!$M$9,G93,1)),"",IF((AND(FIND('112'!$M$9,G93,1)&gt;=1,$B93&gt;='112'!$N$8,$B93&lt;='112'!$O$8,OR($L93='112'!$I$6,$M93='112'!$I$6))),"x",""))</f>
        <v/>
      </c>
      <c r="S93" s="50" t="str">
        <f>IF(ISERROR(FIND('112'!$M$9,G93,1)),"",IF((AND(LEFT(G93,2)=LEFT('112'!$M$9,2),B93&lt;'112'!$N$8,$L93='112'!$I$6)),"x",""))</f>
        <v/>
      </c>
      <c r="T93" s="50" t="str">
        <f>IF(ISERROR(FIND('112'!$M$9,G93,1)),"",IF((AND(RIGHT(G93,2)=RIGHT('112'!$M$9,2),B93&lt;'112'!$N$8,$M93='112'!$I$6)),"x",""))</f>
        <v/>
      </c>
      <c r="U93" s="50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0" t="str">
        <f>IF(OR(TH!L93=TH!$V$7,M93=TH!$V$7),"x","")</f>
        <v/>
      </c>
      <c r="W93" s="50" t="str">
        <f>IF(AND(B93&gt;='IN-NX'!$P$3,B93&lt;='IN-NX'!$Q$3,'IN-NX'!$D$7=D93,OR(LEFT(L93,2)="15",AND(LEFT(M93,2)&lt;&gt;"15",LEFT(M93,2)&lt;&gt;"33"))),"x","")</f>
        <v/>
      </c>
      <c r="X93" s="50" t="str">
        <f>IF(AND(OR(LEFT(TH!L93,2)="15",LEFT(TH!M93,2)="15"),'152-CT'!$J$8=TH!F93),"x","")</f>
        <v/>
      </c>
      <c r="Y93" s="50" t="str">
        <f>IF(AND(OR(LEFT(TH!L93,2)="15",LEFT(TH!M93,2)="15"),TK!$E$7=TH!F93),"x","")</f>
        <v/>
      </c>
      <c r="Z93" s="50" t="str">
        <f>IF(AND(B93&lt;=NKC!$N$8,B93&gt;=NKC!$M$8),"x","")</f>
        <v/>
      </c>
      <c r="AA93" s="845"/>
    </row>
    <row r="94" spans="1:30" s="201" customFormat="1" ht="15.75" customHeight="1">
      <c r="A94" s="846" t="str">
        <f>IF(B94&lt;&gt;"",IF(AND(B94&gt;=_TM1,B94&lt;=_TM2,OR(TH!L94="1111",TH!M94="1111")),TH!D94,""),"")</f>
        <v>C10</v>
      </c>
      <c r="B94" s="36">
        <f>IF(C94&lt;&gt;"",MONTH(C94),"")</f>
        <v>11</v>
      </c>
      <c r="C94" s="187">
        <f>E94</f>
        <v>41215</v>
      </c>
      <c r="D94" s="187" t="s">
        <v>740</v>
      </c>
      <c r="E94" s="180">
        <v>41215</v>
      </c>
      <c r="F94" s="185" t="s">
        <v>730</v>
      </c>
      <c r="G94" s="853" t="s">
        <v>688</v>
      </c>
      <c r="H94" s="7" t="s">
        <v>632</v>
      </c>
      <c r="I94" s="249"/>
      <c r="J94" s="249"/>
      <c r="K94" s="37">
        <v>14025000</v>
      </c>
      <c r="L94" s="190" t="s">
        <v>8</v>
      </c>
      <c r="M94" s="190" t="s">
        <v>47</v>
      </c>
      <c r="N94" s="50" t="str">
        <f>IF(AND('331-CT'!$E$7=TH!H94,OR(L94="331",M94="331")),"331",IF(AND(OR(L94="131",M94="131"),H94='131-CT'!$E$7),"131",""))</f>
        <v>331</v>
      </c>
      <c r="O94" s="50" t="str">
        <f>IF(AND($B94&gt;='111'!$N$11,$B94&lt;='111'!$O$11,OR($L94=$O$7,$M94=$O$7)),"x","")</f>
        <v>x</v>
      </c>
      <c r="P94" s="50" t="str">
        <f>IF(AND($L94=$O$7,$B94&lt;'111'!$N$11),"x","")</f>
        <v/>
      </c>
      <c r="Q94" s="50" t="str">
        <f>IF(AND($M94=$O$7,$B94&lt;'111'!$N$11),"x","")</f>
        <v/>
      </c>
      <c r="R94" s="50" t="str">
        <f>IF(ISERROR(FIND('112'!$M$9,G94,1)),"",IF((AND(FIND('112'!$M$9,G94,1)&gt;=1,$B94&gt;='112'!$N$8,$B94&lt;='112'!$O$8,OR($L94='112'!$I$6,$M94='112'!$I$6))),"x",""))</f>
        <v/>
      </c>
      <c r="S94" s="50" t="str">
        <f>IF(ISERROR(FIND('112'!$M$9,G94,1)),"",IF((AND(LEFT(G94,2)=LEFT('112'!$M$9,2),B94&lt;'112'!$N$8,$L94='112'!$I$6)),"x",""))</f>
        <v/>
      </c>
      <c r="T94" s="50" t="str">
        <f>IF(ISERROR(FIND('112'!$M$9,G94,1)),"",IF((AND(RIGHT(G94,2)=RIGHT('112'!$M$9,2),B94&lt;'112'!$N$8,$M94='112'!$I$6)),"x",""))</f>
        <v/>
      </c>
      <c r="U94" s="50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0" t="str">
        <f>IF(OR(TH!L94=TH!$V$7,M94=TH!$V$7),"x","")</f>
        <v/>
      </c>
      <c r="W94" s="50" t="str">
        <f>IF(AND(B94&gt;='IN-NX'!$P$3,B94&lt;='IN-NX'!$Q$3,'IN-NX'!$D$7=D94,OR(LEFT(L94,2)="15",AND(LEFT(M94,2)&lt;&gt;"15",LEFT(M94,2)&lt;&gt;"33"))),"x","")</f>
        <v/>
      </c>
      <c r="X94" s="50" t="str">
        <f>IF(AND(OR(LEFT(TH!L94,2)="15",LEFT(TH!M94,2)="15"),'152-CT'!$J$8=TH!F94),"x","")</f>
        <v/>
      </c>
      <c r="Y94" s="50" t="str">
        <f>IF(AND(OR(LEFT(TH!L94,2)="15",LEFT(TH!M94,2)="15"),TK!$E$7=TH!F94),"x","")</f>
        <v/>
      </c>
      <c r="Z94" s="50" t="str">
        <f>IF(AND(B94&lt;=NKC!$N$8,B94&gt;=NKC!$M$8),"x","")</f>
        <v/>
      </c>
      <c r="AA94" s="845"/>
      <c r="AB94" s="581"/>
    </row>
    <row r="95" spans="1:30" s="201" customFormat="1" ht="15.75" customHeight="1">
      <c r="A95" s="846" t="str">
        <f>IF(B95&lt;&gt;"",IF(AND(B95&gt;=_TM1,B95&lt;=_TM2,OR(TH!L95="1111",TH!M95="1111")),TH!D95,""),"")</f>
        <v/>
      </c>
      <c r="B95" s="36">
        <f>IF(C95&lt;&gt;"",MONTH(C95),"")</f>
        <v>11</v>
      </c>
      <c r="C95" s="187">
        <f>E95</f>
        <v>41215</v>
      </c>
      <c r="D95" s="187" t="s">
        <v>749</v>
      </c>
      <c r="E95" s="180">
        <v>41215</v>
      </c>
      <c r="F95" s="185" t="s">
        <v>641</v>
      </c>
      <c r="G95" s="853" t="s">
        <v>689</v>
      </c>
      <c r="H95" s="7" t="s">
        <v>632</v>
      </c>
      <c r="I95" s="249">
        <v>500</v>
      </c>
      <c r="J95" s="249">
        <v>10298</v>
      </c>
      <c r="K95" s="37">
        <f>ROUND(I95*J95,0)</f>
        <v>5149000</v>
      </c>
      <c r="L95" s="190" t="s">
        <v>617</v>
      </c>
      <c r="M95" s="190" t="s">
        <v>8</v>
      </c>
      <c r="N95" s="50" t="str">
        <f>IF(AND('331-CT'!$E$7=TH!H95,OR(L95="331",M95="331")),"331",IF(AND(OR(L95="131",M95="131"),H95='131-CT'!$E$7),"131",""))</f>
        <v>331</v>
      </c>
      <c r="O95" s="50" t="str">
        <f>IF(AND($B95&gt;='111'!$N$11,$B95&lt;='111'!$O$11,OR($L95=$O$7,$M95=$O$7)),"x","")</f>
        <v/>
      </c>
      <c r="P95" s="50" t="str">
        <f>IF(AND($L95=$O$7,$B95&lt;'111'!$N$11),"x","")</f>
        <v/>
      </c>
      <c r="Q95" s="50" t="str">
        <f>IF(AND($M95=$O$7,$B95&lt;'111'!$N$11),"x","")</f>
        <v/>
      </c>
      <c r="R95" s="50" t="str">
        <f>IF(ISERROR(FIND('112'!$M$9,G95,1)),"",IF((AND(FIND('112'!$M$9,G95,1)&gt;=1,$B95&gt;='112'!$N$8,$B95&lt;='112'!$O$8,OR($L95='112'!$I$6,$M95='112'!$I$6))),"x",""))</f>
        <v/>
      </c>
      <c r="S95" s="50" t="str">
        <f>IF(ISERROR(FIND('112'!$M$9,G95,1)),"",IF((AND(LEFT(G95,2)=LEFT('112'!$M$9,2),B95&lt;'112'!$N$8,$L95='112'!$I$6)),"x",""))</f>
        <v/>
      </c>
      <c r="T95" s="50" t="str">
        <f>IF(ISERROR(FIND('112'!$M$9,G95,1)),"",IF((AND(RIGHT(G95,2)=RIGHT('112'!$M$9,2),B95&lt;'112'!$N$8,$M95='112'!$I$6)),"x",""))</f>
        <v/>
      </c>
      <c r="U95" s="50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0" t="str">
        <f>IF(OR(TH!L95=TH!$V$7,M95=TH!$V$7),"x","")</f>
        <v/>
      </c>
      <c r="W95" s="50" t="str">
        <f>IF(AND(B95&gt;='IN-NX'!$P$3,B95&lt;='IN-NX'!$Q$3,'IN-NX'!$D$7=D95,OR(LEFT(L95,2)="15",AND(LEFT(M95,2)&lt;&gt;"15",LEFT(M95,2)&lt;&gt;"33"))),"x","")</f>
        <v/>
      </c>
      <c r="X95" s="50" t="str">
        <f>IF(AND(OR(LEFT(TH!L95,2)="15",LEFT(TH!M95,2)="15"),'152-CT'!$J$8=TH!F95),"x","")</f>
        <v/>
      </c>
      <c r="Y95" s="50" t="str">
        <f>IF(AND(OR(LEFT(TH!L95,2)="15",LEFT(TH!M95,2)="15"),TK!$E$7=TH!F95),"x","")</f>
        <v/>
      </c>
      <c r="Z95" s="50" t="str">
        <f>IF(AND(B95&lt;=NKC!$N$8,B95&gt;=NKC!$M$8),"x","")</f>
        <v/>
      </c>
      <c r="AA95" s="845"/>
    </row>
    <row r="96" spans="1:30" s="201" customFormat="1" ht="15.75" customHeight="1">
      <c r="A96" s="846" t="str">
        <f>IF(B96&lt;&gt;"",IF(AND(B96&gt;=_TM1,B96&lt;=_TM2,OR(TH!L96="1111",TH!M96="1111")),TH!D96,""),"")</f>
        <v/>
      </c>
      <c r="B96" s="36">
        <f>IF(C96&lt;&gt;"",MONTH(C96),"")</f>
        <v>11</v>
      </c>
      <c r="C96" s="187">
        <f>E96</f>
        <v>41215</v>
      </c>
      <c r="D96" s="187" t="s">
        <v>749</v>
      </c>
      <c r="E96" s="180">
        <v>41215</v>
      </c>
      <c r="F96" s="185" t="s">
        <v>634</v>
      </c>
      <c r="G96" s="853" t="s">
        <v>689</v>
      </c>
      <c r="H96" s="7" t="s">
        <v>632</v>
      </c>
      <c r="I96" s="249"/>
      <c r="J96" s="249"/>
      <c r="K96" s="37">
        <v>514900</v>
      </c>
      <c r="L96" s="190" t="s">
        <v>9</v>
      </c>
      <c r="M96" s="190" t="s">
        <v>8</v>
      </c>
      <c r="N96" s="50" t="str">
        <f>IF(AND('331-CT'!$E$7=TH!H96,OR(L96="331",M96="331")),"331",IF(AND(OR(L96="131",M96="131"),H96='131-CT'!$E$7),"131",""))</f>
        <v>331</v>
      </c>
      <c r="O96" s="50" t="str">
        <f>IF(AND($B96&gt;='111'!$N$11,$B96&lt;='111'!$O$11,OR($L96=$O$7,$M96=$O$7)),"x","")</f>
        <v/>
      </c>
      <c r="P96" s="50" t="str">
        <f>IF(AND($L96=$O$7,$B96&lt;'111'!$N$11),"x","")</f>
        <v/>
      </c>
      <c r="Q96" s="50" t="str">
        <f>IF(AND($M96=$O$7,$B96&lt;'111'!$N$11),"x","")</f>
        <v/>
      </c>
      <c r="R96" s="50" t="str">
        <f>IF(ISERROR(FIND('112'!$M$9,G96,1)),"",IF((AND(FIND('112'!$M$9,G96,1)&gt;=1,$B96&gt;='112'!$N$8,$B96&lt;='112'!$O$8,OR($L96='112'!$I$6,$M96='112'!$I$6))),"x",""))</f>
        <v/>
      </c>
      <c r="S96" s="50" t="str">
        <f>IF(ISERROR(FIND('112'!$M$9,G96,1)),"",IF((AND(LEFT(G96,2)=LEFT('112'!$M$9,2),B96&lt;'112'!$N$8,$L96='112'!$I$6)),"x",""))</f>
        <v/>
      </c>
      <c r="T96" s="50" t="str">
        <f>IF(ISERROR(FIND('112'!$M$9,G96,1)),"",IF((AND(RIGHT(G96,2)=RIGHT('112'!$M$9,2),B96&lt;'112'!$N$8,$M96='112'!$I$6)),"x",""))</f>
        <v/>
      </c>
      <c r="U96" s="50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0" t="str">
        <f>IF(OR(TH!L96=TH!$V$7,M96=TH!$V$7),"x","")</f>
        <v/>
      </c>
      <c r="W96" s="50" t="str">
        <f>IF(AND(B96&gt;='IN-NX'!$P$3,B96&lt;='IN-NX'!$Q$3,'IN-NX'!$D$7=D96,OR(LEFT(L96,2)="15",AND(LEFT(M96,2)&lt;&gt;"15",LEFT(M96,2)&lt;&gt;"33"))),"x","")</f>
        <v/>
      </c>
      <c r="X96" s="50" t="str">
        <f>IF(AND(OR(LEFT(TH!L96,2)="15",LEFT(TH!M96,2)="15"),'152-CT'!$J$8=TH!F96),"x","")</f>
        <v/>
      </c>
      <c r="Y96" s="50" t="str">
        <f>IF(AND(OR(LEFT(TH!L96,2)="15",LEFT(TH!M96,2)="15"),TK!$E$7=TH!F96),"x","")</f>
        <v/>
      </c>
      <c r="Z96" s="50" t="str">
        <f>IF(AND(B96&lt;=NKC!$N$8,B96&gt;=NKC!$M$8),"x","")</f>
        <v/>
      </c>
      <c r="AA96" s="845"/>
    </row>
    <row r="97" spans="1:30" s="201" customFormat="1" ht="15.75" customHeight="1">
      <c r="A97" s="846" t="str">
        <f>IF(B97&lt;&gt;"",IF(AND(B97&gt;=_TM1,B97&lt;=_TM2,OR(TH!L97="1111",TH!M97="1111")),TH!D97,""),"")</f>
        <v>C11</v>
      </c>
      <c r="B97" s="36">
        <f>IF(C97&lt;&gt;"",MONTH(C97),"")</f>
        <v>11</v>
      </c>
      <c r="C97" s="187">
        <f>E97</f>
        <v>41215</v>
      </c>
      <c r="D97" s="187" t="s">
        <v>741</v>
      </c>
      <c r="E97" s="180">
        <v>41215</v>
      </c>
      <c r="F97" s="185" t="s">
        <v>730</v>
      </c>
      <c r="G97" s="853" t="s">
        <v>689</v>
      </c>
      <c r="H97" s="7" t="s">
        <v>632</v>
      </c>
      <c r="I97" s="249"/>
      <c r="J97" s="249"/>
      <c r="K97" s="37">
        <v>5663900</v>
      </c>
      <c r="L97" s="190" t="s">
        <v>8</v>
      </c>
      <c r="M97" s="190" t="s">
        <v>47</v>
      </c>
      <c r="N97" s="50" t="str">
        <f>IF(AND('331-CT'!$E$7=TH!H97,OR(L97="331",M97="331")),"331",IF(AND(OR(L97="131",M97="131"),H97='131-CT'!$E$7),"131",""))</f>
        <v>331</v>
      </c>
      <c r="O97" s="50" t="str">
        <f>IF(AND($B97&gt;='111'!$N$11,$B97&lt;='111'!$O$11,OR($L97=$O$7,$M97=$O$7)),"x","")</f>
        <v>x</v>
      </c>
      <c r="P97" s="50" t="str">
        <f>IF(AND($L97=$O$7,$B97&lt;'111'!$N$11),"x","")</f>
        <v/>
      </c>
      <c r="Q97" s="50" t="str">
        <f>IF(AND($M97=$O$7,$B97&lt;'111'!$N$11),"x","")</f>
        <v/>
      </c>
      <c r="R97" s="50" t="str">
        <f>IF(ISERROR(FIND('112'!$M$9,G97,1)),"",IF((AND(FIND('112'!$M$9,G97,1)&gt;=1,$B97&gt;='112'!$N$8,$B97&lt;='112'!$O$8,OR($L97='112'!$I$6,$M97='112'!$I$6))),"x",""))</f>
        <v/>
      </c>
      <c r="S97" s="50" t="str">
        <f>IF(ISERROR(FIND('112'!$M$9,G97,1)),"",IF((AND(LEFT(G97,2)=LEFT('112'!$M$9,2),B97&lt;'112'!$N$8,$L97='112'!$I$6)),"x",""))</f>
        <v/>
      </c>
      <c r="T97" s="50" t="str">
        <f>IF(ISERROR(FIND('112'!$M$9,G97,1)),"",IF((AND(RIGHT(G97,2)=RIGHT('112'!$M$9,2),B97&lt;'112'!$N$8,$M97='112'!$I$6)),"x",""))</f>
        <v/>
      </c>
      <c r="U97" s="50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0" t="str">
        <f>IF(OR(TH!L97=TH!$V$7,M97=TH!$V$7),"x","")</f>
        <v/>
      </c>
      <c r="W97" s="50" t="str">
        <f>IF(AND(B97&gt;='IN-NX'!$P$3,B97&lt;='IN-NX'!$Q$3,'IN-NX'!$D$7=D97,OR(LEFT(L97,2)="15",AND(LEFT(M97,2)&lt;&gt;"15",LEFT(M97,2)&lt;&gt;"33"))),"x","")</f>
        <v/>
      </c>
      <c r="X97" s="50" t="str">
        <f>IF(AND(OR(LEFT(TH!L97,2)="15",LEFT(TH!M97,2)="15"),'152-CT'!$J$8=TH!F97),"x","")</f>
        <v/>
      </c>
      <c r="Y97" s="50" t="str">
        <f>IF(AND(OR(LEFT(TH!L97,2)="15",LEFT(TH!M97,2)="15"),TK!$E$7=TH!F97),"x","")</f>
        <v/>
      </c>
      <c r="Z97" s="50" t="str">
        <f>IF(AND(B97&lt;=NKC!$N$8,B97&gt;=NKC!$M$8),"x","")</f>
        <v/>
      </c>
      <c r="AA97" s="845"/>
      <c r="AB97" s="581"/>
    </row>
    <row r="98" spans="1:30" s="201" customFormat="1" ht="15.75" customHeight="1">
      <c r="A98" s="846" t="str">
        <f>IF(B98&lt;&gt;"",IF(AND(B98&gt;=_TM1,B98&lt;=_TM2,OR(TH!L98="1111",TH!M98="1111")),TH!D98,""),"")</f>
        <v/>
      </c>
      <c r="B98" s="36">
        <f>IF(C98&lt;&gt;"",MONTH(C98),"")</f>
        <v>11</v>
      </c>
      <c r="C98" s="187">
        <f>E98</f>
        <v>41220</v>
      </c>
      <c r="D98" s="180" t="s">
        <v>715</v>
      </c>
      <c r="E98" s="180">
        <v>41220</v>
      </c>
      <c r="F98" s="185" t="s">
        <v>718</v>
      </c>
      <c r="G98" s="853" t="s">
        <v>616</v>
      </c>
      <c r="H98" s="189" t="s">
        <v>724</v>
      </c>
      <c r="I98" s="249"/>
      <c r="J98" s="249"/>
      <c r="K98" s="589">
        <v>6956400</v>
      </c>
      <c r="L98" s="590" t="s">
        <v>24</v>
      </c>
      <c r="M98" s="590" t="s">
        <v>269</v>
      </c>
      <c r="N98" s="50" t="str">
        <f>IF(AND('331-CT'!$E$7=TH!H98,OR(L98="331",M98="331")),"331",IF(AND(OR(L98="131",M98="131"),H98='131-CT'!$E$7),"131",""))</f>
        <v/>
      </c>
      <c r="O98" s="50" t="str">
        <f>IF(AND($B98&gt;='111'!$N$11,$B98&lt;='111'!$O$11,OR($L98=$O$7,$M98=$O$7)),"x","")</f>
        <v/>
      </c>
      <c r="P98" s="50" t="str">
        <f>IF(AND($L98=$O$7,$B98&lt;'111'!$N$11),"x","")</f>
        <v/>
      </c>
      <c r="Q98" s="50" t="str">
        <f>IF(AND($M98=$O$7,$B98&lt;'111'!$N$11),"x","")</f>
        <v/>
      </c>
      <c r="R98" s="50" t="str">
        <f>IF(ISERROR(FIND('112'!$M$9,G98,1)),"",IF((AND(FIND('112'!$M$9,G98,1)&gt;=1,$B98&gt;='112'!$N$8,$B98&lt;='112'!$O$8,OR($L98='112'!$I$6,$M98='112'!$I$6))),"x",""))</f>
        <v>x</v>
      </c>
      <c r="S98" s="50" t="str">
        <f>IF(ISERROR(FIND('112'!$M$9,G98,1)),"",IF((AND(LEFT(G98,2)=LEFT('112'!$M$9,2),B98&lt;'112'!$N$8,$L98='112'!$I$6)),"x",""))</f>
        <v/>
      </c>
      <c r="T98" s="50" t="str">
        <f>IF(ISERROR(FIND('112'!$M$9,G98,1)),"",IF((AND(RIGHT(G98,2)=RIGHT('112'!$M$9,2),B98&lt;'112'!$N$8,$M98='112'!$I$6)),"x",""))</f>
        <v/>
      </c>
      <c r="U98" s="50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0" t="str">
        <f>IF(OR(TH!L98=TH!$V$7,M98=TH!$V$7),"x","")</f>
        <v/>
      </c>
      <c r="W98" s="50" t="str">
        <f>IF(AND(B98&gt;='IN-NX'!$P$3,B98&lt;='IN-NX'!$Q$3,'IN-NX'!$D$7=D98,OR(LEFT(L98,2)="15",AND(LEFT(M98,2)&lt;&gt;"15",LEFT(M98,2)&lt;&gt;"33"))),"x","")</f>
        <v/>
      </c>
      <c r="X98" s="50" t="str">
        <f>IF(AND(OR(LEFT(TH!L98,2)="15",LEFT(TH!M98,2)="15"),'152-CT'!$J$8=TH!F98),"x","")</f>
        <v/>
      </c>
      <c r="Y98" s="50" t="str">
        <f>IF(AND(OR(LEFT(TH!L98,2)="15",LEFT(TH!M98,2)="15"),TK!$E$7=TH!F98),"x","")</f>
        <v/>
      </c>
      <c r="Z98" s="50" t="str">
        <f>IF(AND(B98&lt;=NKC!$N$8,B98&gt;=NKC!$M$8),"x","")</f>
        <v/>
      </c>
      <c r="AA98" s="845"/>
      <c r="AB98" s="581"/>
      <c r="AC98" s="581"/>
      <c r="AD98" s="581"/>
    </row>
    <row r="99" spans="1:30" s="201" customFormat="1" ht="15.75" customHeight="1">
      <c r="A99" s="846" t="str">
        <f>IF(B99&lt;&gt;"",IF(AND(B99&gt;=_TM1,B99&lt;=_TM2,OR(TH!L99="1111",TH!M99="1111")),TH!D99,""),"")</f>
        <v>C12</v>
      </c>
      <c r="B99" s="36">
        <f>IF(C99&lt;&gt;"",MONTH(C99),"")</f>
        <v>11</v>
      </c>
      <c r="C99" s="187">
        <f>E99</f>
        <v>41220</v>
      </c>
      <c r="D99" s="187" t="s">
        <v>750</v>
      </c>
      <c r="E99" s="180">
        <v>41220</v>
      </c>
      <c r="F99" s="188" t="s">
        <v>607</v>
      </c>
      <c r="G99" s="853" t="s">
        <v>686</v>
      </c>
      <c r="H99" s="7" t="s">
        <v>685</v>
      </c>
      <c r="I99" s="249"/>
      <c r="J99" s="249"/>
      <c r="K99" s="37">
        <v>4845455</v>
      </c>
      <c r="L99" s="190" t="s">
        <v>83</v>
      </c>
      <c r="M99" s="190" t="s">
        <v>47</v>
      </c>
      <c r="N99" s="50" t="str">
        <f>IF(AND('331-CT'!$E$7=TH!H99,OR(L99="331",M99="331")),"331",IF(AND(OR(L99="131",M99="131"),H99='131-CT'!$E$7),"131",""))</f>
        <v/>
      </c>
      <c r="O99" s="50" t="str">
        <f>IF(AND($B99&gt;='111'!$N$11,$B99&lt;='111'!$O$11,OR($L99=$O$7,$M99=$O$7)),"x","")</f>
        <v>x</v>
      </c>
      <c r="P99" s="50" t="str">
        <f>IF(AND($L99=$O$7,$B99&lt;'111'!$N$11),"x","")</f>
        <v/>
      </c>
      <c r="Q99" s="50" t="str">
        <f>IF(AND($M99=$O$7,$B99&lt;'111'!$N$11),"x","")</f>
        <v/>
      </c>
      <c r="R99" s="50" t="str">
        <f>IF(ISERROR(FIND('112'!$M$9,G99,1)),"",IF((AND(FIND('112'!$M$9,G99,1)&gt;=1,$B99&gt;='112'!$N$8,$B99&lt;='112'!$O$8,OR($L99='112'!$I$6,$M99='112'!$I$6))),"x",""))</f>
        <v/>
      </c>
      <c r="S99" s="50" t="str">
        <f>IF(ISERROR(FIND('112'!$M$9,G99,1)),"",IF((AND(LEFT(G99,2)=LEFT('112'!$M$9,2),B99&lt;'112'!$N$8,$L99='112'!$I$6)),"x",""))</f>
        <v/>
      </c>
      <c r="T99" s="50" t="str">
        <f>IF(ISERROR(FIND('112'!$M$9,G99,1)),"",IF((AND(RIGHT(G99,2)=RIGHT('112'!$M$9,2),B99&lt;'112'!$N$8,$M99='112'!$I$6)),"x",""))</f>
        <v/>
      </c>
      <c r="U99" s="50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0" t="str">
        <f>IF(OR(TH!L99=TH!$V$7,M99=TH!$V$7),"x","")</f>
        <v>x</v>
      </c>
      <c r="W99" s="50" t="str">
        <f>IF(AND(B99&gt;='IN-NX'!$P$3,B99&lt;='IN-NX'!$Q$3,'IN-NX'!$D$7=D99,OR(LEFT(L99,2)="15",AND(LEFT(M99,2)&lt;&gt;"15",LEFT(M99,2)&lt;&gt;"33"))),"x","")</f>
        <v/>
      </c>
      <c r="X99" s="50" t="str">
        <f>IF(AND(OR(LEFT(TH!L99,2)="15",LEFT(TH!M99,2)="15"),'152-CT'!$J$8=TH!F99),"x","")</f>
        <v/>
      </c>
      <c r="Y99" s="50" t="str">
        <f>IF(AND(OR(LEFT(TH!L99,2)="15",LEFT(TH!M99,2)="15"),TK!$E$7=TH!F99),"x","")</f>
        <v/>
      </c>
      <c r="Z99" s="50" t="str">
        <f>IF(AND(B99&lt;=NKC!$N$8,B99&gt;=NKC!$M$8),"x","")</f>
        <v/>
      </c>
      <c r="AA99" s="845"/>
      <c r="AB99" s="581"/>
    </row>
    <row r="100" spans="1:30" s="201" customFormat="1" ht="15.75" customHeight="1">
      <c r="A100" s="846" t="str">
        <f>IF(B100&lt;&gt;"",IF(AND(B100&gt;=_TM1,B100&lt;=_TM2,OR(TH!L100="1111",TH!M100="1111")),TH!D100,""),"")</f>
        <v>C12</v>
      </c>
      <c r="B100" s="36">
        <f>IF(C100&lt;&gt;"",MONTH(C100),"")</f>
        <v>11</v>
      </c>
      <c r="C100" s="187">
        <f>E100</f>
        <v>41220</v>
      </c>
      <c r="D100" s="187" t="s">
        <v>750</v>
      </c>
      <c r="E100" s="180">
        <v>41220</v>
      </c>
      <c r="F100" s="188" t="s">
        <v>608</v>
      </c>
      <c r="G100" s="853" t="s">
        <v>686</v>
      </c>
      <c r="H100" s="7" t="s">
        <v>685</v>
      </c>
      <c r="I100" s="249"/>
      <c r="J100" s="249"/>
      <c r="K100" s="37">
        <v>484545</v>
      </c>
      <c r="L100" s="190" t="s">
        <v>9</v>
      </c>
      <c r="M100" s="190" t="s">
        <v>47</v>
      </c>
      <c r="N100" s="50" t="str">
        <f>IF(AND('331-CT'!$E$7=TH!H100,OR(L100="331",M100="331")),"331",IF(AND(OR(L100="131",M100="131"),H100='131-CT'!$E$7),"131",""))</f>
        <v/>
      </c>
      <c r="O100" s="50" t="str">
        <f>IF(AND($B100&gt;='111'!$N$11,$B100&lt;='111'!$O$11,OR($L100=$O$7,$M100=$O$7)),"x","")</f>
        <v>x</v>
      </c>
      <c r="P100" s="50" t="str">
        <f>IF(AND($L100=$O$7,$B100&lt;'111'!$N$11),"x","")</f>
        <v/>
      </c>
      <c r="Q100" s="50" t="str">
        <f>IF(AND($M100=$O$7,$B100&lt;'111'!$N$11),"x","")</f>
        <v/>
      </c>
      <c r="R100" s="50" t="str">
        <f>IF(ISERROR(FIND('112'!$M$9,G100,1)),"",IF((AND(FIND('112'!$M$9,G100,1)&gt;=1,$B100&gt;='112'!$N$8,$B100&lt;='112'!$O$8,OR($L100='112'!$I$6,$M100='112'!$I$6))),"x",""))</f>
        <v/>
      </c>
      <c r="S100" s="50" t="str">
        <f>IF(ISERROR(FIND('112'!$M$9,G100,1)),"",IF((AND(LEFT(G100,2)=LEFT('112'!$M$9,2),B100&lt;'112'!$N$8,$L100='112'!$I$6)),"x",""))</f>
        <v/>
      </c>
      <c r="T100" s="50" t="str">
        <f>IF(ISERROR(FIND('112'!$M$9,G100,1)),"",IF((AND(RIGHT(G100,2)=RIGHT('112'!$M$9,2),B100&lt;'112'!$N$8,$M100='112'!$I$6)),"x",""))</f>
        <v/>
      </c>
      <c r="U100" s="50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0" t="str">
        <f>IF(OR(TH!L100=TH!$V$7,M100=TH!$V$7),"x","")</f>
        <v/>
      </c>
      <c r="W100" s="50" t="str">
        <f>IF(AND(B100&gt;='IN-NX'!$P$3,B100&lt;='IN-NX'!$Q$3,'IN-NX'!$D$7=D100,OR(LEFT(L100,2)="15",AND(LEFT(M100,2)&lt;&gt;"15",LEFT(M100,2)&lt;&gt;"33"))),"x","")</f>
        <v/>
      </c>
      <c r="X100" s="50" t="str">
        <f>IF(AND(OR(LEFT(TH!L100,2)="15",LEFT(TH!M100,2)="15"),'152-CT'!$J$8=TH!F100),"x","")</f>
        <v/>
      </c>
      <c r="Y100" s="50" t="str">
        <f>IF(AND(OR(LEFT(TH!L100,2)="15",LEFT(TH!M100,2)="15"),TK!$E$7=TH!F100),"x","")</f>
        <v/>
      </c>
      <c r="Z100" s="50" t="str">
        <f>IF(AND(B100&lt;=NKC!$N$8,B100&gt;=NKC!$M$8),"x","")</f>
        <v/>
      </c>
      <c r="AA100" s="845"/>
      <c r="AB100" s="581"/>
    </row>
    <row r="101" spans="1:30" s="201" customFormat="1" ht="15.75" customHeight="1">
      <c r="A101" s="846" t="str">
        <f>IF(B101&lt;&gt;"",IF(AND(B101&gt;=_TM1,B101&lt;=_TM2,OR(TH!L101="1111",TH!M101="1111")),TH!D101,""),"")</f>
        <v>C13</v>
      </c>
      <c r="B101" s="36">
        <f>IF(C101&lt;&gt;"",MONTH(C101),"")</f>
        <v>11</v>
      </c>
      <c r="C101" s="187">
        <f>E101</f>
        <v>41221</v>
      </c>
      <c r="D101" s="187" t="s">
        <v>751</v>
      </c>
      <c r="E101" s="180">
        <v>41221</v>
      </c>
      <c r="F101" s="185" t="s">
        <v>674</v>
      </c>
      <c r="G101" s="853" t="s">
        <v>676</v>
      </c>
      <c r="H101" s="189" t="s">
        <v>673</v>
      </c>
      <c r="I101" s="249"/>
      <c r="J101" s="249"/>
      <c r="K101" s="37">
        <v>4372550</v>
      </c>
      <c r="L101" s="190" t="s">
        <v>83</v>
      </c>
      <c r="M101" s="190" t="s">
        <v>47</v>
      </c>
      <c r="N101" s="50" t="str">
        <f>IF(AND('331-CT'!$E$7=TH!H101,OR(L101="331",M101="331")),"331",IF(AND(OR(L101="131",M101="131"),H101='131-CT'!$E$7),"131",""))</f>
        <v/>
      </c>
      <c r="O101" s="50" t="str">
        <f>IF(AND($B101&gt;='111'!$N$11,$B101&lt;='111'!$O$11,OR($L101=$O$7,$M101=$O$7)),"x","")</f>
        <v>x</v>
      </c>
      <c r="P101" s="50" t="str">
        <f>IF(AND($L101=$O$7,$B101&lt;'111'!$N$11),"x","")</f>
        <v/>
      </c>
      <c r="Q101" s="50" t="str">
        <f>IF(AND($M101=$O$7,$B101&lt;'111'!$N$11),"x","")</f>
        <v/>
      </c>
      <c r="R101" s="50" t="str">
        <f>IF(ISERROR(FIND('112'!$M$9,G101,1)),"",IF((AND(FIND('112'!$M$9,G101,1)&gt;=1,$B101&gt;='112'!$N$8,$B101&lt;='112'!$O$8,OR($L101='112'!$I$6,$M101='112'!$I$6))),"x",""))</f>
        <v/>
      </c>
      <c r="S101" s="50" t="str">
        <f>IF(ISERROR(FIND('112'!$M$9,G101,1)),"",IF((AND(LEFT(G101,2)=LEFT('112'!$M$9,2),B101&lt;'112'!$N$8,$L101='112'!$I$6)),"x",""))</f>
        <v/>
      </c>
      <c r="T101" s="50" t="str">
        <f>IF(ISERROR(FIND('112'!$M$9,G101,1)),"",IF((AND(RIGHT(G101,2)=RIGHT('112'!$M$9,2),B101&lt;'112'!$N$8,$M101='112'!$I$6)),"x",""))</f>
        <v/>
      </c>
      <c r="U101" s="50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0" t="str">
        <f>IF(OR(TH!L101=TH!$V$7,M101=TH!$V$7),"x","")</f>
        <v>x</v>
      </c>
      <c r="W101" s="50" t="str">
        <f>IF(AND(B101&gt;='IN-NX'!$P$3,B101&lt;='IN-NX'!$Q$3,'IN-NX'!$D$7=D101,OR(LEFT(L101,2)="15",AND(LEFT(M101,2)&lt;&gt;"15",LEFT(M101,2)&lt;&gt;"33"))),"x","")</f>
        <v/>
      </c>
      <c r="X101" s="50" t="str">
        <f>IF(AND(OR(LEFT(TH!L101,2)="15",LEFT(TH!M101,2)="15"),'152-CT'!$J$8=TH!F101),"x","")</f>
        <v/>
      </c>
      <c r="Y101" s="50" t="str">
        <f>IF(AND(OR(LEFT(TH!L101,2)="15",LEFT(TH!M101,2)="15"),TK!$E$7=TH!F101),"x","")</f>
        <v/>
      </c>
      <c r="Z101" s="50" t="str">
        <f>IF(AND(B101&lt;=NKC!$N$8,B101&gt;=NKC!$M$8),"x","")</f>
        <v/>
      </c>
      <c r="AA101" s="845"/>
      <c r="AB101" s="581"/>
    </row>
    <row r="102" spans="1:30" s="201" customFormat="1" ht="15.75" customHeight="1">
      <c r="A102" s="846" t="str">
        <f>IF(B102&lt;&gt;"",IF(AND(B102&gt;=_TM1,B102&lt;=_TM2,OR(TH!L102="1111",TH!M102="1111")),TH!D102,""),"")</f>
        <v>C13</v>
      </c>
      <c r="B102" s="36">
        <f>IF(C102&lt;&gt;"",MONTH(C102),"")</f>
        <v>11</v>
      </c>
      <c r="C102" s="187">
        <f>E102</f>
        <v>41221</v>
      </c>
      <c r="D102" s="187" t="s">
        <v>751</v>
      </c>
      <c r="E102" s="180">
        <v>41221</v>
      </c>
      <c r="F102" s="185" t="s">
        <v>675</v>
      </c>
      <c r="G102" s="853" t="s">
        <v>676</v>
      </c>
      <c r="H102" s="189" t="s">
        <v>673</v>
      </c>
      <c r="I102" s="249"/>
      <c r="J102" s="249"/>
      <c r="K102" s="37">
        <v>437255</v>
      </c>
      <c r="L102" s="190" t="s">
        <v>9</v>
      </c>
      <c r="M102" s="190" t="s">
        <v>47</v>
      </c>
      <c r="N102" s="50" t="str">
        <f>IF(AND('331-CT'!$E$7=TH!H102,OR(L102="331",M102="331")),"331",IF(AND(OR(L102="131",M102="131"),H102='131-CT'!$E$7),"131",""))</f>
        <v/>
      </c>
      <c r="O102" s="50" t="str">
        <f>IF(AND($B102&gt;='111'!$N$11,$B102&lt;='111'!$O$11,OR($L102=$O$7,$M102=$O$7)),"x","")</f>
        <v>x</v>
      </c>
      <c r="P102" s="50" t="str">
        <f>IF(AND($L102=$O$7,$B102&lt;'111'!$N$11),"x","")</f>
        <v/>
      </c>
      <c r="Q102" s="50" t="str">
        <f>IF(AND($M102=$O$7,$B102&lt;'111'!$N$11),"x","")</f>
        <v/>
      </c>
      <c r="R102" s="50" t="str">
        <f>IF(ISERROR(FIND('112'!$M$9,G102,1)),"",IF((AND(FIND('112'!$M$9,G102,1)&gt;=1,$B102&gt;='112'!$N$8,$B102&lt;='112'!$O$8,OR($L102='112'!$I$6,$M102='112'!$I$6))),"x",""))</f>
        <v/>
      </c>
      <c r="S102" s="50" t="str">
        <f>IF(ISERROR(FIND('112'!$M$9,G102,1)),"",IF((AND(LEFT(G102,2)=LEFT('112'!$M$9,2),B102&lt;'112'!$N$8,$L102='112'!$I$6)),"x",""))</f>
        <v/>
      </c>
      <c r="T102" s="50" t="str">
        <f>IF(ISERROR(FIND('112'!$M$9,G102,1)),"",IF((AND(RIGHT(G102,2)=RIGHT('112'!$M$9,2),B102&lt;'112'!$N$8,$M102='112'!$I$6)),"x",""))</f>
        <v/>
      </c>
      <c r="U102" s="50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0" t="str">
        <f>IF(OR(TH!L102=TH!$V$7,M102=TH!$V$7),"x","")</f>
        <v/>
      </c>
      <c r="W102" s="50" t="str">
        <f>IF(AND(B102&gt;='IN-NX'!$P$3,B102&lt;='IN-NX'!$Q$3,'IN-NX'!$D$7=D102,OR(LEFT(L102,2)="15",AND(LEFT(M102,2)&lt;&gt;"15",LEFT(M102,2)&lt;&gt;"33"))),"x","")</f>
        <v/>
      </c>
      <c r="X102" s="50" t="str">
        <f>IF(AND(OR(LEFT(TH!L102,2)="15",LEFT(TH!M102,2)="15"),'152-CT'!$J$8=TH!F102),"x","")</f>
        <v/>
      </c>
      <c r="Y102" s="50" t="str">
        <f>IF(AND(OR(LEFT(TH!L102,2)="15",LEFT(TH!M102,2)="15"),TK!$E$7=TH!F102),"x","")</f>
        <v/>
      </c>
      <c r="Z102" s="50" t="str">
        <f>IF(AND(B102&lt;=NKC!$N$8,B102&gt;=NKC!$M$8),"x","")</f>
        <v/>
      </c>
      <c r="AA102" s="845"/>
      <c r="AB102" s="581"/>
    </row>
    <row r="103" spans="1:30" s="201" customFormat="1" ht="15.75" customHeight="1">
      <c r="A103" s="846" t="str">
        <f>IF(B103&lt;&gt;"",IF(AND(B103&gt;=_TM1,B103&lt;=_TM2,OR(TH!L103="1111",TH!M103="1111")),TH!D103,""),"")</f>
        <v>C14</v>
      </c>
      <c r="B103" s="36">
        <f>IF(C103&lt;&gt;"",MONTH(C103),"")</f>
        <v>11</v>
      </c>
      <c r="C103" s="187">
        <f>E103</f>
        <v>41222</v>
      </c>
      <c r="D103" s="187" t="s">
        <v>752</v>
      </c>
      <c r="E103" s="180">
        <v>41222</v>
      </c>
      <c r="F103" s="185" t="s">
        <v>650</v>
      </c>
      <c r="G103" s="853"/>
      <c r="H103" s="7" t="s">
        <v>653</v>
      </c>
      <c r="I103" s="249"/>
      <c r="J103" s="249"/>
      <c r="K103" s="37">
        <v>505710</v>
      </c>
      <c r="L103" s="190" t="s">
        <v>17</v>
      </c>
      <c r="M103" s="190" t="s">
        <v>47</v>
      </c>
      <c r="N103" s="50" t="str">
        <f>IF(AND('331-CT'!$E$7=TH!H103,OR(L103="331",M103="331")),"331",IF(AND(OR(L103="131",M103="131"),H103='131-CT'!$E$7),"131",""))</f>
        <v/>
      </c>
      <c r="O103" s="50" t="str">
        <f>IF(AND($B103&gt;='111'!$N$11,$B103&lt;='111'!$O$11,OR($L103=$O$7,$M103=$O$7)),"x","")</f>
        <v>x</v>
      </c>
      <c r="P103" s="50" t="str">
        <f>IF(AND($L103=$O$7,$B103&lt;'111'!$N$11),"x","")</f>
        <v/>
      </c>
      <c r="Q103" s="50" t="str">
        <f>IF(AND($M103=$O$7,$B103&lt;'111'!$N$11),"x","")</f>
        <v/>
      </c>
      <c r="R103" s="50" t="str">
        <f>IF(ISERROR(FIND('112'!$M$9,G103,1)),"",IF((AND(FIND('112'!$M$9,G103,1)&gt;=1,$B103&gt;='112'!$N$8,$B103&lt;='112'!$O$8,OR($L103='112'!$I$6,$M103='112'!$I$6))),"x",""))</f>
        <v/>
      </c>
      <c r="S103" s="50" t="str">
        <f>IF(ISERROR(FIND('112'!$M$9,G103,1)),"",IF((AND(LEFT(G103,2)=LEFT('112'!$M$9,2),B103&lt;'112'!$N$8,$L103='112'!$I$6)),"x",""))</f>
        <v/>
      </c>
      <c r="T103" s="50" t="str">
        <f>IF(ISERROR(FIND('112'!$M$9,G103,1)),"",IF((AND(RIGHT(G103,2)=RIGHT('112'!$M$9,2),B103&lt;'112'!$N$8,$M103='112'!$I$6)),"x",""))</f>
        <v/>
      </c>
      <c r="U103" s="50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0" t="str">
        <f>IF(OR(TH!L103=TH!$V$7,M103=TH!$V$7),"x","")</f>
        <v/>
      </c>
      <c r="W103" s="50" t="str">
        <f>IF(AND(B103&gt;='IN-NX'!$P$3,B103&lt;='IN-NX'!$Q$3,'IN-NX'!$D$7=D103,OR(LEFT(L103,2)="15",AND(LEFT(M103,2)&lt;&gt;"15",LEFT(M103,2)&lt;&gt;"33"))),"x","")</f>
        <v/>
      </c>
      <c r="X103" s="50" t="str">
        <f>IF(AND(OR(LEFT(TH!L103,2)="15",LEFT(TH!M103,2)="15"),'152-CT'!$J$8=TH!F103),"x","")</f>
        <v/>
      </c>
      <c r="Y103" s="50" t="str">
        <f>IF(AND(OR(LEFT(TH!L103,2)="15",LEFT(TH!M103,2)="15"),TK!$E$7=TH!F103),"x","")</f>
        <v/>
      </c>
      <c r="Z103" s="50" t="str">
        <f>IF(AND(B103&lt;=NKC!$N$8,B103&gt;=NKC!$M$8),"x","")</f>
        <v/>
      </c>
      <c r="AA103" s="845"/>
      <c r="AB103" s="581"/>
    </row>
    <row r="104" spans="1:30" s="201" customFormat="1" ht="15.75" customHeight="1">
      <c r="A104" s="846" t="str">
        <f>IF(B104&lt;&gt;"",IF(AND(B104&gt;=_TM1,B104&lt;=_TM2,OR(TH!L104="1111",TH!M104="1111")),TH!D104,""),"")</f>
        <v>C15</v>
      </c>
      <c r="B104" s="36">
        <f>IF(C104&lt;&gt;"",MONTH(C104),"")</f>
        <v>11</v>
      </c>
      <c r="C104" s="187">
        <f>E104</f>
        <v>41228</v>
      </c>
      <c r="D104" s="187" t="s">
        <v>753</v>
      </c>
      <c r="E104" s="180">
        <v>41228</v>
      </c>
      <c r="F104" s="188" t="s">
        <v>623</v>
      </c>
      <c r="G104" s="853" t="s">
        <v>684</v>
      </c>
      <c r="H104" s="200" t="s">
        <v>625</v>
      </c>
      <c r="I104" s="249"/>
      <c r="J104" s="249"/>
      <c r="K104" s="37">
        <f>516607+292676</f>
        <v>809283</v>
      </c>
      <c r="L104" s="190" t="s">
        <v>83</v>
      </c>
      <c r="M104" s="190" t="s">
        <v>47</v>
      </c>
      <c r="N104" s="50" t="str">
        <f>IF(AND('331-CT'!$E$7=TH!H104,OR(L104="331",M104="331")),"331",IF(AND(OR(L104="131",M104="131"),H104='131-CT'!$E$7),"131",""))</f>
        <v/>
      </c>
      <c r="O104" s="50" t="str">
        <f>IF(AND($B104&gt;='111'!$N$11,$B104&lt;='111'!$O$11,OR($L104=$O$7,$M104=$O$7)),"x","")</f>
        <v>x</v>
      </c>
      <c r="P104" s="50" t="str">
        <f>IF(AND($L104=$O$7,$B104&lt;'111'!$N$11),"x","")</f>
        <v/>
      </c>
      <c r="Q104" s="50" t="str">
        <f>IF(AND($M104=$O$7,$B104&lt;'111'!$N$11),"x","")</f>
        <v/>
      </c>
      <c r="R104" s="50" t="str">
        <f>IF(ISERROR(FIND('112'!$M$9,G104,1)),"",IF((AND(FIND('112'!$M$9,G104,1)&gt;=1,$B104&gt;='112'!$N$8,$B104&lt;='112'!$O$8,OR($L104='112'!$I$6,$M104='112'!$I$6))),"x",""))</f>
        <v/>
      </c>
      <c r="S104" s="50" t="str">
        <f>IF(ISERROR(FIND('112'!$M$9,G104,1)),"",IF((AND(LEFT(G104,2)=LEFT('112'!$M$9,2),B104&lt;'112'!$N$8,$L104='112'!$I$6)),"x",""))</f>
        <v/>
      </c>
      <c r="T104" s="50" t="str">
        <f>IF(ISERROR(FIND('112'!$M$9,G104,1)),"",IF((AND(RIGHT(G104,2)=RIGHT('112'!$M$9,2),B104&lt;'112'!$N$8,$M104='112'!$I$6)),"x",""))</f>
        <v/>
      </c>
      <c r="U104" s="50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0" t="str">
        <f>IF(OR(TH!L104=TH!$V$7,M104=TH!$V$7),"x","")</f>
        <v>x</v>
      </c>
      <c r="W104" s="50" t="str">
        <f>IF(AND(B104&gt;='IN-NX'!$P$3,B104&lt;='IN-NX'!$Q$3,'IN-NX'!$D$7=D104,OR(LEFT(L104,2)="15",AND(LEFT(M104,2)&lt;&gt;"15",LEFT(M104,2)&lt;&gt;"33"))),"x","")</f>
        <v/>
      </c>
      <c r="X104" s="50" t="str">
        <f>IF(AND(OR(LEFT(TH!L104,2)="15",LEFT(TH!M104,2)="15"),'152-CT'!$J$8=TH!F104),"x","")</f>
        <v/>
      </c>
      <c r="Y104" s="50" t="str">
        <f>IF(AND(OR(LEFT(TH!L104,2)="15",LEFT(TH!M104,2)="15"),TK!$E$7=TH!F104),"x","")</f>
        <v/>
      </c>
      <c r="Z104" s="50" t="str">
        <f>IF(AND(B104&lt;=NKC!$N$8,B104&gt;=NKC!$M$8),"x","")</f>
        <v/>
      </c>
      <c r="AA104" s="845"/>
      <c r="AB104" s="581"/>
    </row>
    <row r="105" spans="1:30" s="201" customFormat="1" ht="15.75" customHeight="1">
      <c r="A105" s="846" t="str">
        <f>IF(B105&lt;&gt;"",IF(AND(B105&gt;=_TM1,B105&lt;=_TM2,OR(TH!L105="1111",TH!M105="1111")),TH!D105,""),"")</f>
        <v>C15</v>
      </c>
      <c r="B105" s="36">
        <f>IF(C105&lt;&gt;"",MONTH(C105),"")</f>
        <v>11</v>
      </c>
      <c r="C105" s="187">
        <f>E105</f>
        <v>41228</v>
      </c>
      <c r="D105" s="187" t="s">
        <v>753</v>
      </c>
      <c r="E105" s="180">
        <v>41228</v>
      </c>
      <c r="F105" s="188" t="s">
        <v>624</v>
      </c>
      <c r="G105" s="853" t="s">
        <v>684</v>
      </c>
      <c r="H105" s="200" t="s">
        <v>625</v>
      </c>
      <c r="I105" s="249"/>
      <c r="J105" s="249"/>
      <c r="K105" s="37">
        <f>51661+29268</f>
        <v>80929</v>
      </c>
      <c r="L105" s="190" t="s">
        <v>9</v>
      </c>
      <c r="M105" s="190" t="s">
        <v>47</v>
      </c>
      <c r="N105" s="50" t="str">
        <f>IF(AND('331-CT'!$E$7=TH!H105,OR(L105="331",M105="331")),"331",IF(AND(OR(L105="131",M105="131"),H105='131-CT'!$E$7),"131",""))</f>
        <v/>
      </c>
      <c r="O105" s="50" t="str">
        <f>IF(AND($B105&gt;='111'!$N$11,$B105&lt;='111'!$O$11,OR($L105=$O$7,$M105=$O$7)),"x","")</f>
        <v>x</v>
      </c>
      <c r="P105" s="50" t="str">
        <f>IF(AND($L105=$O$7,$B105&lt;'111'!$N$11),"x","")</f>
        <v/>
      </c>
      <c r="Q105" s="50" t="str">
        <f>IF(AND($M105=$O$7,$B105&lt;'111'!$N$11),"x","")</f>
        <v/>
      </c>
      <c r="R105" s="50" t="str">
        <f>IF(ISERROR(FIND('112'!$M$9,G105,1)),"",IF((AND(FIND('112'!$M$9,G105,1)&gt;=1,$B105&gt;='112'!$N$8,$B105&lt;='112'!$O$8,OR($L105='112'!$I$6,$M105='112'!$I$6))),"x",""))</f>
        <v/>
      </c>
      <c r="S105" s="50" t="str">
        <f>IF(ISERROR(FIND('112'!$M$9,G105,1)),"",IF((AND(LEFT(G105,2)=LEFT('112'!$M$9,2),B105&lt;'112'!$N$8,$L105='112'!$I$6)),"x",""))</f>
        <v/>
      </c>
      <c r="T105" s="50" t="str">
        <f>IF(ISERROR(FIND('112'!$M$9,G105,1)),"",IF((AND(RIGHT(G105,2)=RIGHT('112'!$M$9,2),B105&lt;'112'!$N$8,$M105='112'!$I$6)),"x",""))</f>
        <v/>
      </c>
      <c r="U105" s="50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0" t="str">
        <f>IF(OR(TH!L105=TH!$V$7,M105=TH!$V$7),"x","")</f>
        <v/>
      </c>
      <c r="W105" s="50" t="str">
        <f>IF(AND(B105&gt;='IN-NX'!$P$3,B105&lt;='IN-NX'!$Q$3,'IN-NX'!$D$7=D105,OR(LEFT(L105,2)="15",AND(LEFT(M105,2)&lt;&gt;"15",LEFT(M105,2)&lt;&gt;"33"))),"x","")</f>
        <v/>
      </c>
      <c r="X105" s="50" t="str">
        <f>IF(AND(OR(LEFT(TH!L105,2)="15",LEFT(TH!M105,2)="15"),'152-CT'!$J$8=TH!F105),"x","")</f>
        <v/>
      </c>
      <c r="Y105" s="50" t="str">
        <f>IF(AND(OR(LEFT(TH!L105,2)="15",LEFT(TH!M105,2)="15"),TK!$E$7=TH!F105),"x","")</f>
        <v/>
      </c>
      <c r="Z105" s="50" t="str">
        <f>IF(AND(B105&lt;=NKC!$N$8,B105&gt;=NKC!$M$8),"x","")</f>
        <v/>
      </c>
      <c r="AA105" s="845"/>
      <c r="AB105" s="581"/>
    </row>
    <row r="106" spans="1:30" s="201" customFormat="1" ht="15.75" customHeight="1">
      <c r="A106" s="846" t="str">
        <f>IF(B106&lt;&gt;"",IF(AND(B106&gt;=_TM1,B106&lt;=_TM2,OR(TH!L106="1111",TH!M106="1111")),TH!D106,""),"")</f>
        <v/>
      </c>
      <c r="B106" s="36">
        <f>IF(C106&lt;&gt;"",MONTH(C106),"")</f>
        <v>11</v>
      </c>
      <c r="C106" s="187">
        <f>E106</f>
        <v>41230</v>
      </c>
      <c r="D106" s="187" t="s">
        <v>754</v>
      </c>
      <c r="E106" s="180">
        <v>41230</v>
      </c>
      <c r="F106" s="185" t="s">
        <v>664</v>
      </c>
      <c r="G106" s="853" t="s">
        <v>690</v>
      </c>
      <c r="H106" s="7" t="s">
        <v>632</v>
      </c>
      <c r="I106" s="249">
        <v>1000</v>
      </c>
      <c r="J106" s="249">
        <v>10286</v>
      </c>
      <c r="K106" s="37">
        <f>ROUND(I106*J106,0)</f>
        <v>10286000</v>
      </c>
      <c r="L106" s="190" t="s">
        <v>617</v>
      </c>
      <c r="M106" s="190" t="s">
        <v>8</v>
      </c>
      <c r="N106" s="50" t="str">
        <f>IF(AND('331-CT'!$E$7=TH!H106,OR(L106="331",M106="331")),"331",IF(AND(OR(L106="131",M106="131"),H106='131-CT'!$E$7),"131",""))</f>
        <v>331</v>
      </c>
      <c r="O106" s="50" t="str">
        <f>IF(AND($B106&gt;='111'!$N$11,$B106&lt;='111'!$O$11,OR($L106=$O$7,$M106=$O$7)),"x","")</f>
        <v/>
      </c>
      <c r="P106" s="50" t="str">
        <f>IF(AND($L106=$O$7,$B106&lt;'111'!$N$11),"x","")</f>
        <v/>
      </c>
      <c r="Q106" s="50" t="str">
        <f>IF(AND($M106=$O$7,$B106&lt;'111'!$N$11),"x","")</f>
        <v/>
      </c>
      <c r="R106" s="50" t="str">
        <f>IF(ISERROR(FIND('112'!$M$9,G106,1)),"",IF((AND(FIND('112'!$M$9,G106,1)&gt;=1,$B106&gt;='112'!$N$8,$B106&lt;='112'!$O$8,OR($L106='112'!$I$6,$M106='112'!$I$6))),"x",""))</f>
        <v/>
      </c>
      <c r="S106" s="50" t="str">
        <f>IF(ISERROR(FIND('112'!$M$9,G106,1)),"",IF((AND(LEFT(G106,2)=LEFT('112'!$M$9,2),B106&lt;'112'!$N$8,$L106='112'!$I$6)),"x",""))</f>
        <v/>
      </c>
      <c r="T106" s="50" t="str">
        <f>IF(ISERROR(FIND('112'!$M$9,G106,1)),"",IF((AND(RIGHT(G106,2)=RIGHT('112'!$M$9,2),B106&lt;'112'!$N$8,$M106='112'!$I$6)),"x",""))</f>
        <v/>
      </c>
      <c r="U106" s="50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0" t="str">
        <f>IF(OR(TH!L106=TH!$V$7,M106=TH!$V$7),"x","")</f>
        <v/>
      </c>
      <c r="W106" s="50" t="str">
        <f>IF(AND(B106&gt;='IN-NX'!$P$3,B106&lt;='IN-NX'!$Q$3,'IN-NX'!$D$7=D106,OR(LEFT(L106,2)="15",AND(LEFT(M106,2)&lt;&gt;"15",LEFT(M106,2)&lt;&gt;"33"))),"x","")</f>
        <v/>
      </c>
      <c r="X106" s="50" t="str">
        <f>IF(AND(OR(LEFT(TH!L106,2)="15",LEFT(TH!M106,2)="15"),'152-CT'!$J$8=TH!F106),"x","")</f>
        <v/>
      </c>
      <c r="Y106" s="50" t="str">
        <f>IF(AND(OR(LEFT(TH!L106,2)="15",LEFT(TH!M106,2)="15"),TK!$E$7=TH!F106),"x","")</f>
        <v/>
      </c>
      <c r="Z106" s="50" t="str">
        <f>IF(AND(B106&lt;=NKC!$N$8,B106&gt;=NKC!$M$8),"x","")</f>
        <v/>
      </c>
      <c r="AA106" s="845"/>
    </row>
    <row r="107" spans="1:30" s="201" customFormat="1" ht="15.75" customHeight="1">
      <c r="A107" s="846" t="str">
        <f>IF(B107&lt;&gt;"",IF(AND(B107&gt;=_TM1,B107&lt;=_TM2,OR(TH!L107="1111",TH!M107="1111")),TH!D107,""),"")</f>
        <v/>
      </c>
      <c r="B107" s="36">
        <f>IF(C107&lt;&gt;"",MONTH(C107),"")</f>
        <v>11</v>
      </c>
      <c r="C107" s="187">
        <f>E107</f>
        <v>41230</v>
      </c>
      <c r="D107" s="187" t="s">
        <v>754</v>
      </c>
      <c r="E107" s="180">
        <v>41230</v>
      </c>
      <c r="F107" s="185" t="s">
        <v>691</v>
      </c>
      <c r="G107" s="853" t="s">
        <v>690</v>
      </c>
      <c r="H107" s="7" t="s">
        <v>632</v>
      </c>
      <c r="I107" s="249">
        <v>175</v>
      </c>
      <c r="J107" s="249">
        <v>10546</v>
      </c>
      <c r="K107" s="37">
        <f>ROUND(I107*J107,0)</f>
        <v>1845550</v>
      </c>
      <c r="L107" s="190" t="s">
        <v>617</v>
      </c>
      <c r="M107" s="190" t="s">
        <v>8</v>
      </c>
      <c r="N107" s="50" t="str">
        <f>IF(AND('331-CT'!$E$7=TH!H107,OR(L107="331",M107="331")),"331",IF(AND(OR(L107="131",M107="131"),H107='131-CT'!$E$7),"131",""))</f>
        <v>331</v>
      </c>
      <c r="O107" s="50" t="str">
        <f>IF(AND($B107&gt;='111'!$N$11,$B107&lt;='111'!$O$11,OR($L107=$O$7,$M107=$O$7)),"x","")</f>
        <v/>
      </c>
      <c r="P107" s="50" t="str">
        <f>IF(AND($L107=$O$7,$B107&lt;'111'!$N$11),"x","")</f>
        <v/>
      </c>
      <c r="Q107" s="50" t="str">
        <f>IF(AND($M107=$O$7,$B107&lt;'111'!$N$11),"x","")</f>
        <v/>
      </c>
      <c r="R107" s="50" t="str">
        <f>IF(ISERROR(FIND('112'!$M$9,G107,1)),"",IF((AND(FIND('112'!$M$9,G107,1)&gt;=1,$B107&gt;='112'!$N$8,$B107&lt;='112'!$O$8,OR($L107='112'!$I$6,$M107='112'!$I$6))),"x",""))</f>
        <v/>
      </c>
      <c r="S107" s="50" t="str">
        <f>IF(ISERROR(FIND('112'!$M$9,G107,1)),"",IF((AND(LEFT(G107,2)=LEFT('112'!$M$9,2),B107&lt;'112'!$N$8,$L107='112'!$I$6)),"x",""))</f>
        <v/>
      </c>
      <c r="T107" s="50" t="str">
        <f>IF(ISERROR(FIND('112'!$M$9,G107,1)),"",IF((AND(RIGHT(G107,2)=RIGHT('112'!$M$9,2),B107&lt;'112'!$N$8,$M107='112'!$I$6)),"x",""))</f>
        <v/>
      </c>
      <c r="U107" s="50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0" t="str">
        <f>IF(OR(TH!L107=TH!$V$7,M107=TH!$V$7),"x","")</f>
        <v/>
      </c>
      <c r="W107" s="50" t="str">
        <f>IF(AND(B107&gt;='IN-NX'!$P$3,B107&lt;='IN-NX'!$Q$3,'IN-NX'!$D$7=D107,OR(LEFT(L107,2)="15",AND(LEFT(M107,2)&lt;&gt;"15",LEFT(M107,2)&lt;&gt;"33"))),"x","")</f>
        <v/>
      </c>
      <c r="X107" s="50" t="str">
        <f>IF(AND(OR(LEFT(TH!L107,2)="15",LEFT(TH!M107,2)="15"),'152-CT'!$J$8=TH!F107),"x","")</f>
        <v/>
      </c>
      <c r="Y107" s="50" t="str">
        <f>IF(AND(OR(LEFT(TH!L107,2)="15",LEFT(TH!M107,2)="15"),TK!$E$7=TH!F107),"x","")</f>
        <v/>
      </c>
      <c r="Z107" s="50" t="str">
        <f>IF(AND(B107&lt;=NKC!$N$8,B107&gt;=NKC!$M$8),"x","")</f>
        <v/>
      </c>
      <c r="AA107" s="845"/>
    </row>
    <row r="108" spans="1:30" s="201" customFormat="1" ht="15.75" customHeight="1">
      <c r="A108" s="846" t="str">
        <f>IF(B108&lt;&gt;"",IF(AND(B108&gt;=_TM1,B108&lt;=_TM2,OR(TH!L108="1111",TH!M108="1111")),TH!D108,""),"")</f>
        <v/>
      </c>
      <c r="B108" s="36">
        <f>IF(C108&lt;&gt;"",MONTH(C108),"")</f>
        <v>11</v>
      </c>
      <c r="C108" s="187">
        <f>E108</f>
        <v>41230</v>
      </c>
      <c r="D108" s="187" t="s">
        <v>754</v>
      </c>
      <c r="E108" s="180">
        <v>41230</v>
      </c>
      <c r="F108" s="185" t="s">
        <v>671</v>
      </c>
      <c r="G108" s="853" t="s">
        <v>690</v>
      </c>
      <c r="H108" s="7" t="s">
        <v>632</v>
      </c>
      <c r="I108" s="249">
        <v>600</v>
      </c>
      <c r="J108" s="249">
        <v>8556</v>
      </c>
      <c r="K108" s="37">
        <f>ROUND(I108*J108,0)</f>
        <v>5133600</v>
      </c>
      <c r="L108" s="190" t="s">
        <v>617</v>
      </c>
      <c r="M108" s="190" t="s">
        <v>8</v>
      </c>
      <c r="N108" s="50" t="str">
        <f>IF(AND('331-CT'!$E$7=TH!H108,OR(L108="331",M108="331")),"331",IF(AND(OR(L108="131",M108="131"),H108='131-CT'!$E$7),"131",""))</f>
        <v>331</v>
      </c>
      <c r="O108" s="50" t="str">
        <f>IF(AND($B108&gt;='111'!$N$11,$B108&lt;='111'!$O$11,OR($L108=$O$7,$M108=$O$7)),"x","")</f>
        <v/>
      </c>
      <c r="P108" s="50" t="str">
        <f>IF(AND($L108=$O$7,$B108&lt;'111'!$N$11),"x","")</f>
        <v/>
      </c>
      <c r="Q108" s="50" t="str">
        <f>IF(AND($M108=$O$7,$B108&lt;'111'!$N$11),"x","")</f>
        <v/>
      </c>
      <c r="R108" s="50" t="str">
        <f>IF(ISERROR(FIND('112'!$M$9,G108,1)),"",IF((AND(FIND('112'!$M$9,G108,1)&gt;=1,$B108&gt;='112'!$N$8,$B108&lt;='112'!$O$8,OR($L108='112'!$I$6,$M108='112'!$I$6))),"x",""))</f>
        <v/>
      </c>
      <c r="S108" s="50" t="str">
        <f>IF(ISERROR(FIND('112'!$M$9,G108,1)),"",IF((AND(LEFT(G108,2)=LEFT('112'!$M$9,2),B108&lt;'112'!$N$8,$L108='112'!$I$6)),"x",""))</f>
        <v/>
      </c>
      <c r="T108" s="50" t="str">
        <f>IF(ISERROR(FIND('112'!$M$9,G108,1)),"",IF((AND(RIGHT(G108,2)=RIGHT('112'!$M$9,2),B108&lt;'112'!$N$8,$M108='112'!$I$6)),"x",""))</f>
        <v/>
      </c>
      <c r="U108" s="50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0" t="str">
        <f>IF(OR(TH!L108=TH!$V$7,M108=TH!$V$7),"x","")</f>
        <v/>
      </c>
      <c r="W108" s="50" t="str">
        <f>IF(AND(B108&gt;='IN-NX'!$P$3,B108&lt;='IN-NX'!$Q$3,'IN-NX'!$D$7=D108,OR(LEFT(L108,2)="15",AND(LEFT(M108,2)&lt;&gt;"15",LEFT(M108,2)&lt;&gt;"33"))),"x","")</f>
        <v/>
      </c>
      <c r="X108" s="50" t="str">
        <f>IF(AND(OR(LEFT(TH!L108,2)="15",LEFT(TH!M108,2)="15"),'152-CT'!$J$8=TH!F108),"x","")</f>
        <v/>
      </c>
      <c r="Y108" s="50" t="str">
        <f>IF(AND(OR(LEFT(TH!L108,2)="15",LEFT(TH!M108,2)="15"),TK!$E$7=TH!F108),"x","")</f>
        <v/>
      </c>
      <c r="Z108" s="50" t="str">
        <f>IF(AND(B108&lt;=NKC!$N$8,B108&gt;=NKC!$M$8),"x","")</f>
        <v/>
      </c>
      <c r="AA108" s="845"/>
    </row>
    <row r="109" spans="1:30" s="201" customFormat="1" ht="15.75" customHeight="1">
      <c r="A109" s="846" t="str">
        <f>IF(B109&lt;&gt;"",IF(AND(B109&gt;=_TM1,B109&lt;=_TM2,OR(TH!L109="1111",TH!M109="1111")),TH!D109,""),"")</f>
        <v/>
      </c>
      <c r="B109" s="36">
        <f>IF(C109&lt;&gt;"",MONTH(C109),"")</f>
        <v>11</v>
      </c>
      <c r="C109" s="187">
        <f>E109</f>
        <v>41230</v>
      </c>
      <c r="D109" s="187" t="s">
        <v>754</v>
      </c>
      <c r="E109" s="180">
        <v>41230</v>
      </c>
      <c r="F109" s="185" t="s">
        <v>634</v>
      </c>
      <c r="G109" s="853" t="s">
        <v>690</v>
      </c>
      <c r="H109" s="7" t="s">
        <v>632</v>
      </c>
      <c r="I109" s="249"/>
      <c r="J109" s="249"/>
      <c r="K109" s="37">
        <v>1726515</v>
      </c>
      <c r="L109" s="190" t="s">
        <v>9</v>
      </c>
      <c r="M109" s="190" t="s">
        <v>8</v>
      </c>
      <c r="N109" s="50" t="str">
        <f>IF(AND('331-CT'!$E$7=TH!H109,OR(L109="331",M109="331")),"331",IF(AND(OR(L109="131",M109="131"),H109='131-CT'!$E$7),"131",""))</f>
        <v>331</v>
      </c>
      <c r="O109" s="50" t="str">
        <f>IF(AND($B109&gt;='111'!$N$11,$B109&lt;='111'!$O$11,OR($L109=$O$7,$M109=$O$7)),"x","")</f>
        <v/>
      </c>
      <c r="P109" s="50" t="str">
        <f>IF(AND($L109=$O$7,$B109&lt;'111'!$N$11),"x","")</f>
        <v/>
      </c>
      <c r="Q109" s="50" t="str">
        <f>IF(AND($M109=$O$7,$B109&lt;'111'!$N$11),"x","")</f>
        <v/>
      </c>
      <c r="R109" s="50" t="str">
        <f>IF(ISERROR(FIND('112'!$M$9,G109,1)),"",IF((AND(FIND('112'!$M$9,G109,1)&gt;=1,$B109&gt;='112'!$N$8,$B109&lt;='112'!$O$8,OR($L109='112'!$I$6,$M109='112'!$I$6))),"x",""))</f>
        <v/>
      </c>
      <c r="S109" s="50" t="str">
        <f>IF(ISERROR(FIND('112'!$M$9,G109,1)),"",IF((AND(LEFT(G109,2)=LEFT('112'!$M$9,2),B109&lt;'112'!$N$8,$L109='112'!$I$6)),"x",""))</f>
        <v/>
      </c>
      <c r="T109" s="50" t="str">
        <f>IF(ISERROR(FIND('112'!$M$9,G109,1)),"",IF((AND(RIGHT(G109,2)=RIGHT('112'!$M$9,2),B109&lt;'112'!$N$8,$M109='112'!$I$6)),"x",""))</f>
        <v/>
      </c>
      <c r="U109" s="50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0" t="str">
        <f>IF(OR(TH!L109=TH!$V$7,M109=TH!$V$7),"x","")</f>
        <v/>
      </c>
      <c r="W109" s="50" t="str">
        <f>IF(AND(B109&gt;='IN-NX'!$P$3,B109&lt;='IN-NX'!$Q$3,'IN-NX'!$D$7=D109,OR(LEFT(L109,2)="15",AND(LEFT(M109,2)&lt;&gt;"15",LEFT(M109,2)&lt;&gt;"33"))),"x","")</f>
        <v/>
      </c>
      <c r="X109" s="50" t="str">
        <f>IF(AND(OR(LEFT(TH!L109,2)="15",LEFT(TH!M109,2)="15"),'152-CT'!$J$8=TH!F109),"x","")</f>
        <v/>
      </c>
      <c r="Y109" s="50" t="str">
        <f>IF(AND(OR(LEFT(TH!L109,2)="15",LEFT(TH!M109,2)="15"),TK!$E$7=TH!F109),"x","")</f>
        <v/>
      </c>
      <c r="Z109" s="50" t="str">
        <f>IF(AND(B109&lt;=NKC!$N$8,B109&gt;=NKC!$M$8),"x","")</f>
        <v/>
      </c>
      <c r="AA109" s="845"/>
    </row>
    <row r="110" spans="1:30" s="201" customFormat="1" ht="15.75" customHeight="1">
      <c r="A110" s="846" t="str">
        <f>IF(B110&lt;&gt;"",IF(AND(B110&gt;=_TM1,B110&lt;=_TM2,OR(TH!L110="1111",TH!M110="1111")),TH!D110,""),"")</f>
        <v>C16</v>
      </c>
      <c r="B110" s="36">
        <f>IF(C110&lt;&gt;"",MONTH(C110),"")</f>
        <v>11</v>
      </c>
      <c r="C110" s="187">
        <f>E110</f>
        <v>41230</v>
      </c>
      <c r="D110" s="187" t="s">
        <v>755</v>
      </c>
      <c r="E110" s="180">
        <v>41230</v>
      </c>
      <c r="F110" s="185" t="s">
        <v>730</v>
      </c>
      <c r="G110" s="853" t="s">
        <v>690</v>
      </c>
      <c r="H110" s="7" t="s">
        <v>632</v>
      </c>
      <c r="I110" s="249"/>
      <c r="J110" s="249"/>
      <c r="K110" s="37">
        <v>18991665</v>
      </c>
      <c r="L110" s="190" t="s">
        <v>8</v>
      </c>
      <c r="M110" s="190" t="s">
        <v>47</v>
      </c>
      <c r="N110" s="50" t="str">
        <f>IF(AND('331-CT'!$E$7=TH!H110,OR(L110="331",M110="331")),"331",IF(AND(OR(L110="131",M110="131"),H110='131-CT'!$E$7),"131",""))</f>
        <v>331</v>
      </c>
      <c r="O110" s="50" t="str">
        <f>IF(AND($B110&gt;='111'!$N$11,$B110&lt;='111'!$O$11,OR($L110=$O$7,$M110=$O$7)),"x","")</f>
        <v>x</v>
      </c>
      <c r="P110" s="50" t="str">
        <f>IF(AND($L110=$O$7,$B110&lt;'111'!$N$11),"x","")</f>
        <v/>
      </c>
      <c r="Q110" s="50" t="str">
        <f>IF(AND($M110=$O$7,$B110&lt;'111'!$N$11),"x","")</f>
        <v/>
      </c>
      <c r="R110" s="50" t="str">
        <f>IF(ISERROR(FIND('112'!$M$9,G110,1)),"",IF((AND(FIND('112'!$M$9,G110,1)&gt;=1,$B110&gt;='112'!$N$8,$B110&lt;='112'!$O$8,OR($L110='112'!$I$6,$M110='112'!$I$6))),"x",""))</f>
        <v/>
      </c>
      <c r="S110" s="50" t="str">
        <f>IF(ISERROR(FIND('112'!$M$9,G110,1)),"",IF((AND(LEFT(G110,2)=LEFT('112'!$M$9,2),B110&lt;'112'!$N$8,$L110='112'!$I$6)),"x",""))</f>
        <v/>
      </c>
      <c r="T110" s="50" t="str">
        <f>IF(ISERROR(FIND('112'!$M$9,G110,1)),"",IF((AND(RIGHT(G110,2)=RIGHT('112'!$M$9,2),B110&lt;'112'!$N$8,$M110='112'!$I$6)),"x",""))</f>
        <v/>
      </c>
      <c r="U110" s="50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0" t="str">
        <f>IF(OR(TH!L110=TH!$V$7,M110=TH!$V$7),"x","")</f>
        <v/>
      </c>
      <c r="W110" s="50" t="str">
        <f>IF(AND(B110&gt;='IN-NX'!$P$3,B110&lt;='IN-NX'!$Q$3,'IN-NX'!$D$7=D110,OR(LEFT(L110,2)="15",AND(LEFT(M110,2)&lt;&gt;"15",LEFT(M110,2)&lt;&gt;"33"))),"x","")</f>
        <v/>
      </c>
      <c r="X110" s="50" t="str">
        <f>IF(AND(OR(LEFT(TH!L110,2)="15",LEFT(TH!M110,2)="15"),'152-CT'!$J$8=TH!F110),"x","")</f>
        <v/>
      </c>
      <c r="Y110" s="50" t="str">
        <f>IF(AND(OR(LEFT(TH!L110,2)="15",LEFT(TH!M110,2)="15"),TK!$E$7=TH!F110),"x","")</f>
        <v/>
      </c>
      <c r="Z110" s="50" t="str">
        <f>IF(AND(B110&lt;=NKC!$N$8,B110&gt;=NKC!$M$8),"x","")</f>
        <v/>
      </c>
      <c r="AA110" s="845"/>
      <c r="AB110" s="581"/>
    </row>
    <row r="111" spans="1:30" s="201" customFormat="1" ht="15.75" customHeight="1">
      <c r="A111" s="846" t="str">
        <f>IF(B111&lt;&gt;"",IF(AND(B111&gt;=_TM1,B111&lt;=_TM2,OR(TH!L111="1111",TH!M111="1111")),TH!D111,""),"")</f>
        <v>C17</v>
      </c>
      <c r="B111" s="36">
        <f>IF(C111&lt;&gt;"",MONTH(C111),"")</f>
        <v>11</v>
      </c>
      <c r="C111" s="187">
        <f>E111</f>
        <v>41233</v>
      </c>
      <c r="D111" s="187" t="s">
        <v>756</v>
      </c>
      <c r="E111" s="180">
        <v>41233</v>
      </c>
      <c r="F111" s="188" t="s">
        <v>621</v>
      </c>
      <c r="G111" s="853" t="s">
        <v>687</v>
      </c>
      <c r="H111" s="200" t="s">
        <v>620</v>
      </c>
      <c r="I111" s="249"/>
      <c r="J111" s="249"/>
      <c r="K111" s="37">
        <f>72727+181818</f>
        <v>254545</v>
      </c>
      <c r="L111" s="190" t="s">
        <v>83</v>
      </c>
      <c r="M111" s="190" t="s">
        <v>47</v>
      </c>
      <c r="N111" s="50" t="str">
        <f>IF(AND('331-CT'!$E$7=TH!H111,OR(L111="331",M111="331")),"331",IF(AND(OR(L111="131",M111="131"),H111='131-CT'!$E$7),"131",""))</f>
        <v/>
      </c>
      <c r="O111" s="50" t="str">
        <f>IF(AND($B111&gt;='111'!$N$11,$B111&lt;='111'!$O$11,OR($L111=$O$7,$M111=$O$7)),"x","")</f>
        <v>x</v>
      </c>
      <c r="P111" s="50" t="str">
        <f>IF(AND($L111=$O$7,$B111&lt;'111'!$N$11),"x","")</f>
        <v/>
      </c>
      <c r="Q111" s="50" t="str">
        <f>IF(AND($M111=$O$7,$B111&lt;'111'!$N$11),"x","")</f>
        <v/>
      </c>
      <c r="R111" s="50" t="str">
        <f>IF(ISERROR(FIND('112'!$M$9,G111,1)),"",IF((AND(FIND('112'!$M$9,G111,1)&gt;=1,$B111&gt;='112'!$N$8,$B111&lt;='112'!$O$8,OR($L111='112'!$I$6,$M111='112'!$I$6))),"x",""))</f>
        <v/>
      </c>
      <c r="S111" s="50" t="str">
        <f>IF(ISERROR(FIND('112'!$M$9,G111,1)),"",IF((AND(LEFT(G111,2)=LEFT('112'!$M$9,2),B111&lt;'112'!$N$8,$L111='112'!$I$6)),"x",""))</f>
        <v/>
      </c>
      <c r="T111" s="50" t="str">
        <f>IF(ISERROR(FIND('112'!$M$9,G111,1)),"",IF((AND(RIGHT(G111,2)=RIGHT('112'!$M$9,2),B111&lt;'112'!$N$8,$M111='112'!$I$6)),"x",""))</f>
        <v/>
      </c>
      <c r="U111" s="50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0" t="str">
        <f>IF(OR(TH!L111=TH!$V$7,M111=TH!$V$7),"x","")</f>
        <v>x</v>
      </c>
      <c r="W111" s="50" t="str">
        <f>IF(AND(B111&gt;='IN-NX'!$P$3,B111&lt;='IN-NX'!$Q$3,'IN-NX'!$D$7=D111,OR(LEFT(L111,2)="15",AND(LEFT(M111,2)&lt;&gt;"15",LEFT(M111,2)&lt;&gt;"33"))),"x","")</f>
        <v/>
      </c>
      <c r="X111" s="50" t="str">
        <f>IF(AND(OR(LEFT(TH!L111,2)="15",LEFT(TH!M111,2)="15"),'152-CT'!$J$8=TH!F111),"x","")</f>
        <v/>
      </c>
      <c r="Y111" s="50" t="str">
        <f>IF(AND(OR(LEFT(TH!L111,2)="15",LEFT(TH!M111,2)="15"),TK!$E$7=TH!F111),"x","")</f>
        <v/>
      </c>
      <c r="Z111" s="50" t="str">
        <f>IF(AND(B111&lt;=NKC!$N$8,B111&gt;=NKC!$M$8),"x","")</f>
        <v/>
      </c>
      <c r="AA111" s="845"/>
      <c r="AB111" s="581"/>
    </row>
    <row r="112" spans="1:30" s="201" customFormat="1" ht="15.75" customHeight="1">
      <c r="A112" s="846" t="str">
        <f>IF(B112&lt;&gt;"",IF(AND(B112&gt;=_TM1,B112&lt;=_TM2,OR(TH!L112="1111",TH!M112="1111")),TH!D112,""),"")</f>
        <v>C17</v>
      </c>
      <c r="B112" s="36">
        <f>IF(C112&lt;&gt;"",MONTH(C112),"")</f>
        <v>11</v>
      </c>
      <c r="C112" s="187">
        <f>E112</f>
        <v>41233</v>
      </c>
      <c r="D112" s="187" t="s">
        <v>756</v>
      </c>
      <c r="E112" s="180">
        <v>41233</v>
      </c>
      <c r="F112" s="188" t="s">
        <v>622</v>
      </c>
      <c r="G112" s="853" t="s">
        <v>687</v>
      </c>
      <c r="H112" s="200" t="s">
        <v>620</v>
      </c>
      <c r="I112" s="249"/>
      <c r="J112" s="249"/>
      <c r="K112" s="37">
        <f>7273+18182</f>
        <v>25455</v>
      </c>
      <c r="L112" s="190" t="s">
        <v>9</v>
      </c>
      <c r="M112" s="190" t="s">
        <v>47</v>
      </c>
      <c r="N112" s="50" t="str">
        <f>IF(AND('331-CT'!$E$7=TH!H112,OR(L112="331",M112="331")),"331",IF(AND(OR(L112="131",M112="131"),H112='131-CT'!$E$7),"131",""))</f>
        <v/>
      </c>
      <c r="O112" s="50" t="str">
        <f>IF(AND($B112&gt;='111'!$N$11,$B112&lt;='111'!$O$11,OR($L112=$O$7,$M112=$O$7)),"x","")</f>
        <v>x</v>
      </c>
      <c r="P112" s="50" t="str">
        <f>IF(AND($L112=$O$7,$B112&lt;'111'!$N$11),"x","")</f>
        <v/>
      </c>
      <c r="Q112" s="50" t="str">
        <f>IF(AND($M112=$O$7,$B112&lt;'111'!$N$11),"x","")</f>
        <v/>
      </c>
      <c r="R112" s="50" t="str">
        <f>IF(ISERROR(FIND('112'!$M$9,G112,1)),"",IF((AND(FIND('112'!$M$9,G112,1)&gt;=1,$B112&gt;='112'!$N$8,$B112&lt;='112'!$O$8,OR($L112='112'!$I$6,$M112='112'!$I$6))),"x",""))</f>
        <v/>
      </c>
      <c r="S112" s="50" t="str">
        <f>IF(ISERROR(FIND('112'!$M$9,G112,1)),"",IF((AND(LEFT(G112,2)=LEFT('112'!$M$9,2),B112&lt;'112'!$N$8,$L112='112'!$I$6)),"x",""))</f>
        <v/>
      </c>
      <c r="T112" s="50" t="str">
        <f>IF(ISERROR(FIND('112'!$M$9,G112,1)),"",IF((AND(RIGHT(G112,2)=RIGHT('112'!$M$9,2),B112&lt;'112'!$N$8,$M112='112'!$I$6)),"x",""))</f>
        <v/>
      </c>
      <c r="U112" s="50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0" t="str">
        <f>IF(OR(TH!L112=TH!$V$7,M112=TH!$V$7),"x","")</f>
        <v/>
      </c>
      <c r="W112" s="50" t="str">
        <f>IF(AND(B112&gt;='IN-NX'!$P$3,B112&lt;='IN-NX'!$Q$3,'IN-NX'!$D$7=D112,OR(LEFT(L112,2)="15",AND(LEFT(M112,2)&lt;&gt;"15",LEFT(M112,2)&lt;&gt;"33"))),"x","")</f>
        <v/>
      </c>
      <c r="X112" s="50" t="str">
        <f>IF(AND(OR(LEFT(TH!L112,2)="15",LEFT(TH!M112,2)="15"),'152-CT'!$J$8=TH!F112),"x","")</f>
        <v/>
      </c>
      <c r="Y112" s="50" t="str">
        <f>IF(AND(OR(LEFT(TH!L112,2)="15",LEFT(TH!M112,2)="15"),TK!$E$7=TH!F112),"x","")</f>
        <v/>
      </c>
      <c r="Z112" s="50" t="str">
        <f>IF(AND(B112&lt;=NKC!$N$8,B112&gt;=NKC!$M$8),"x","")</f>
        <v/>
      </c>
      <c r="AA112" s="845"/>
      <c r="AB112" s="581"/>
    </row>
    <row r="113" spans="1:30" s="201" customFormat="1" ht="15.75" customHeight="1">
      <c r="A113" s="846" t="str">
        <f>IF(B113&lt;&gt;"",IF(AND(B113&gt;=_TM1,B113&lt;=_TM2,OR(TH!L113="1111",TH!M113="1111")),TH!D113,""),"")</f>
        <v/>
      </c>
      <c r="B113" s="36">
        <f>IF(C113&lt;&gt;"",MONTH(C113),"")</f>
        <v>11</v>
      </c>
      <c r="C113" s="187">
        <f>E113</f>
        <v>41235</v>
      </c>
      <c r="D113" s="187" t="s">
        <v>757</v>
      </c>
      <c r="E113" s="180">
        <v>41235</v>
      </c>
      <c r="F113" s="185" t="s">
        <v>693</v>
      </c>
      <c r="G113" s="853" t="s">
        <v>692</v>
      </c>
      <c r="H113" s="7" t="s">
        <v>632</v>
      </c>
      <c r="I113" s="249">
        <v>800</v>
      </c>
      <c r="J113" s="249">
        <v>11693</v>
      </c>
      <c r="K113" s="37">
        <f>ROUND(I113*J113,0)</f>
        <v>9354400</v>
      </c>
      <c r="L113" s="190" t="s">
        <v>617</v>
      </c>
      <c r="M113" s="190" t="s">
        <v>8</v>
      </c>
      <c r="N113" s="50" t="str">
        <f>IF(AND('331-CT'!$E$7=TH!H113,OR(L113="331",M113="331")),"331",IF(AND(OR(L113="131",M113="131"),H113='131-CT'!$E$7),"131",""))</f>
        <v>331</v>
      </c>
      <c r="O113" s="50" t="str">
        <f>IF(AND($B113&gt;='111'!$N$11,$B113&lt;='111'!$O$11,OR($L113=$O$7,$M113=$O$7)),"x","")</f>
        <v/>
      </c>
      <c r="P113" s="50" t="str">
        <f>IF(AND($L113=$O$7,$B113&lt;'111'!$N$11),"x","")</f>
        <v/>
      </c>
      <c r="Q113" s="50" t="str">
        <f>IF(AND($M113=$O$7,$B113&lt;'111'!$N$11),"x","")</f>
        <v/>
      </c>
      <c r="R113" s="50" t="str">
        <f>IF(ISERROR(FIND('112'!$M$9,G113,1)),"",IF((AND(FIND('112'!$M$9,G113,1)&gt;=1,$B113&gt;='112'!$N$8,$B113&lt;='112'!$O$8,OR($L113='112'!$I$6,$M113='112'!$I$6))),"x",""))</f>
        <v/>
      </c>
      <c r="S113" s="50" t="str">
        <f>IF(ISERROR(FIND('112'!$M$9,G113,1)),"",IF((AND(LEFT(G113,2)=LEFT('112'!$M$9,2),B113&lt;'112'!$N$8,$L113='112'!$I$6)),"x",""))</f>
        <v/>
      </c>
      <c r="T113" s="50" t="str">
        <f>IF(ISERROR(FIND('112'!$M$9,G113,1)),"",IF((AND(RIGHT(G113,2)=RIGHT('112'!$M$9,2),B113&lt;'112'!$N$8,$M113='112'!$I$6)),"x",""))</f>
        <v/>
      </c>
      <c r="U113" s="50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0" t="str">
        <f>IF(OR(TH!L113=TH!$V$7,M113=TH!$V$7),"x","")</f>
        <v/>
      </c>
      <c r="W113" s="50" t="str">
        <f>IF(AND(B113&gt;='IN-NX'!$P$3,B113&lt;='IN-NX'!$Q$3,'IN-NX'!$D$7=D113,OR(LEFT(L113,2)="15",AND(LEFT(M113,2)&lt;&gt;"15",LEFT(M113,2)&lt;&gt;"33"))),"x","")</f>
        <v/>
      </c>
      <c r="X113" s="50" t="str">
        <f>IF(AND(OR(LEFT(TH!L113,2)="15",LEFT(TH!M113,2)="15"),'152-CT'!$J$8=TH!F113),"x","")</f>
        <v/>
      </c>
      <c r="Y113" s="50" t="str">
        <f>IF(AND(OR(LEFT(TH!L113,2)="15",LEFT(TH!M113,2)="15"),TK!$E$7=TH!F113),"x","")</f>
        <v/>
      </c>
      <c r="Z113" s="50" t="str">
        <f>IF(AND(B113&lt;=NKC!$N$8,B113&gt;=NKC!$M$8),"x","")</f>
        <v/>
      </c>
      <c r="AA113" s="845"/>
    </row>
    <row r="114" spans="1:30" s="201" customFormat="1" ht="15.75" customHeight="1">
      <c r="A114" s="846" t="str">
        <f>IF(B114&lt;&gt;"",IF(AND(B114&gt;=_TM1,B114&lt;=_TM2,OR(TH!L114="1111",TH!M114="1111")),TH!D114,""),"")</f>
        <v/>
      </c>
      <c r="B114" s="36">
        <f>IF(C114&lt;&gt;"",MONTH(C114),"")</f>
        <v>11</v>
      </c>
      <c r="C114" s="187">
        <f>E114</f>
        <v>41235</v>
      </c>
      <c r="D114" s="187" t="s">
        <v>757</v>
      </c>
      <c r="E114" s="180">
        <v>41235</v>
      </c>
      <c r="F114" s="185" t="s">
        <v>694</v>
      </c>
      <c r="G114" s="853" t="s">
        <v>692</v>
      </c>
      <c r="H114" s="7" t="s">
        <v>632</v>
      </c>
      <c r="I114" s="249">
        <v>320</v>
      </c>
      <c r="J114" s="249">
        <v>19110</v>
      </c>
      <c r="K114" s="37">
        <f>ROUND(I114*J114,0)</f>
        <v>6115200</v>
      </c>
      <c r="L114" s="190" t="s">
        <v>617</v>
      </c>
      <c r="M114" s="190" t="s">
        <v>8</v>
      </c>
      <c r="N114" s="50" t="str">
        <f>IF(AND('331-CT'!$E$7=TH!H114,OR(L114="331",M114="331")),"331",IF(AND(OR(L114="131",M114="131"),H114='131-CT'!$E$7),"131",""))</f>
        <v>331</v>
      </c>
      <c r="O114" s="50" t="str">
        <f>IF(AND($B114&gt;='111'!$N$11,$B114&lt;='111'!$O$11,OR($L114=$O$7,$M114=$O$7)),"x","")</f>
        <v/>
      </c>
      <c r="P114" s="50" t="str">
        <f>IF(AND($L114=$O$7,$B114&lt;'111'!$N$11),"x","")</f>
        <v/>
      </c>
      <c r="Q114" s="50" t="str">
        <f>IF(AND($M114=$O$7,$B114&lt;'111'!$N$11),"x","")</f>
        <v/>
      </c>
      <c r="R114" s="50" t="str">
        <f>IF(ISERROR(FIND('112'!$M$9,G114,1)),"",IF((AND(FIND('112'!$M$9,G114,1)&gt;=1,$B114&gt;='112'!$N$8,$B114&lt;='112'!$O$8,OR($L114='112'!$I$6,$M114='112'!$I$6))),"x",""))</f>
        <v/>
      </c>
      <c r="S114" s="50" t="str">
        <f>IF(ISERROR(FIND('112'!$M$9,G114,1)),"",IF((AND(LEFT(G114,2)=LEFT('112'!$M$9,2),B114&lt;'112'!$N$8,$L114='112'!$I$6)),"x",""))</f>
        <v/>
      </c>
      <c r="T114" s="50" t="str">
        <f>IF(ISERROR(FIND('112'!$M$9,G114,1)),"",IF((AND(RIGHT(G114,2)=RIGHT('112'!$M$9,2),B114&lt;'112'!$N$8,$M114='112'!$I$6)),"x",""))</f>
        <v/>
      </c>
      <c r="U114" s="50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0" t="str">
        <f>IF(OR(TH!L114=TH!$V$7,M114=TH!$V$7),"x","")</f>
        <v/>
      </c>
      <c r="W114" s="50" t="str">
        <f>IF(AND(B114&gt;='IN-NX'!$P$3,B114&lt;='IN-NX'!$Q$3,'IN-NX'!$D$7=D114,OR(LEFT(L114,2)="15",AND(LEFT(M114,2)&lt;&gt;"15",LEFT(M114,2)&lt;&gt;"33"))),"x","")</f>
        <v/>
      </c>
      <c r="X114" s="50" t="str">
        <f>IF(AND(OR(LEFT(TH!L114,2)="15",LEFT(TH!M114,2)="15"),'152-CT'!$J$8=TH!F114),"x","")</f>
        <v/>
      </c>
      <c r="Y114" s="50" t="str">
        <f>IF(AND(OR(LEFT(TH!L114,2)="15",LEFT(TH!M114,2)="15"),TK!$E$7=TH!F114),"x","")</f>
        <v/>
      </c>
      <c r="Z114" s="50" t="str">
        <f>IF(AND(B114&lt;=NKC!$N$8,B114&gt;=NKC!$M$8),"x","")</f>
        <v/>
      </c>
      <c r="AA114" s="845"/>
    </row>
    <row r="115" spans="1:30" s="201" customFormat="1" ht="15.75" customHeight="1">
      <c r="A115" s="846" t="str">
        <f>IF(B115&lt;&gt;"",IF(AND(B115&gt;=_TM1,B115&lt;=_TM2,OR(TH!L115="1111",TH!M115="1111")),TH!D115,""),"")</f>
        <v/>
      </c>
      <c r="B115" s="36">
        <f>IF(C115&lt;&gt;"",MONTH(C115),"")</f>
        <v>11</v>
      </c>
      <c r="C115" s="187">
        <f>E115</f>
        <v>41235</v>
      </c>
      <c r="D115" s="187" t="s">
        <v>757</v>
      </c>
      <c r="E115" s="180">
        <v>41235</v>
      </c>
      <c r="F115" s="185" t="s">
        <v>634</v>
      </c>
      <c r="G115" s="853" t="s">
        <v>692</v>
      </c>
      <c r="H115" s="7" t="s">
        <v>632</v>
      </c>
      <c r="I115" s="249"/>
      <c r="J115" s="249"/>
      <c r="K115" s="37">
        <v>1546960</v>
      </c>
      <c r="L115" s="190" t="s">
        <v>9</v>
      </c>
      <c r="M115" s="190" t="s">
        <v>8</v>
      </c>
      <c r="N115" s="50" t="str">
        <f>IF(AND('331-CT'!$E$7=TH!H115,OR(L115="331",M115="331")),"331",IF(AND(OR(L115="131",M115="131"),H115='131-CT'!$E$7),"131",""))</f>
        <v>331</v>
      </c>
      <c r="O115" s="50" t="str">
        <f>IF(AND($B115&gt;='111'!$N$11,$B115&lt;='111'!$O$11,OR($L115=$O$7,$M115=$O$7)),"x","")</f>
        <v/>
      </c>
      <c r="P115" s="50" t="str">
        <f>IF(AND($L115=$O$7,$B115&lt;'111'!$N$11),"x","")</f>
        <v/>
      </c>
      <c r="Q115" s="50" t="str">
        <f>IF(AND($M115=$O$7,$B115&lt;'111'!$N$11),"x","")</f>
        <v/>
      </c>
      <c r="R115" s="50" t="str">
        <f>IF(ISERROR(FIND('112'!$M$9,G115,1)),"",IF((AND(FIND('112'!$M$9,G115,1)&gt;=1,$B115&gt;='112'!$N$8,$B115&lt;='112'!$O$8,OR($L115='112'!$I$6,$M115='112'!$I$6))),"x",""))</f>
        <v/>
      </c>
      <c r="S115" s="50" t="str">
        <f>IF(ISERROR(FIND('112'!$M$9,G115,1)),"",IF((AND(LEFT(G115,2)=LEFT('112'!$M$9,2),B115&lt;'112'!$N$8,$L115='112'!$I$6)),"x",""))</f>
        <v/>
      </c>
      <c r="T115" s="50" t="str">
        <f>IF(ISERROR(FIND('112'!$M$9,G115,1)),"",IF((AND(RIGHT(G115,2)=RIGHT('112'!$M$9,2),B115&lt;'112'!$N$8,$M115='112'!$I$6)),"x",""))</f>
        <v/>
      </c>
      <c r="U115" s="50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0" t="str">
        <f>IF(OR(TH!L115=TH!$V$7,M115=TH!$V$7),"x","")</f>
        <v/>
      </c>
      <c r="W115" s="50" t="str">
        <f>IF(AND(B115&gt;='IN-NX'!$P$3,B115&lt;='IN-NX'!$Q$3,'IN-NX'!$D$7=D115,OR(LEFT(L115,2)="15",AND(LEFT(M115,2)&lt;&gt;"15",LEFT(M115,2)&lt;&gt;"33"))),"x","")</f>
        <v/>
      </c>
      <c r="X115" s="50" t="str">
        <f>IF(AND(OR(LEFT(TH!L115,2)="15",LEFT(TH!M115,2)="15"),'152-CT'!$J$8=TH!F115),"x","")</f>
        <v/>
      </c>
      <c r="Y115" s="50" t="str">
        <f>IF(AND(OR(LEFT(TH!L115,2)="15",LEFT(TH!M115,2)="15"),TK!$E$7=TH!F115),"x","")</f>
        <v/>
      </c>
      <c r="Z115" s="50" t="str">
        <f>IF(AND(B115&lt;=NKC!$N$8,B115&gt;=NKC!$M$8),"x","")</f>
        <v/>
      </c>
      <c r="AA115" s="845"/>
    </row>
    <row r="116" spans="1:30" s="201" customFormat="1" ht="15.75" customHeight="1">
      <c r="A116" s="846" t="str">
        <f>IF(B116&lt;&gt;"",IF(AND(B116&gt;=_TM1,B116&lt;=_TM2,OR(TH!L116="1111",TH!M116="1111")),TH!D116,""),"")</f>
        <v>C18</v>
      </c>
      <c r="B116" s="36">
        <f>IF(C116&lt;&gt;"",MONTH(C116),"")</f>
        <v>11</v>
      </c>
      <c r="C116" s="187">
        <f>E116</f>
        <v>41235</v>
      </c>
      <c r="D116" s="187" t="s">
        <v>758</v>
      </c>
      <c r="E116" s="180">
        <v>41235</v>
      </c>
      <c r="F116" s="185" t="s">
        <v>730</v>
      </c>
      <c r="G116" s="853" t="s">
        <v>692</v>
      </c>
      <c r="H116" s="7" t="s">
        <v>632</v>
      </c>
      <c r="I116" s="249"/>
      <c r="J116" s="249"/>
      <c r="K116" s="37">
        <v>17016560</v>
      </c>
      <c r="L116" s="190" t="s">
        <v>8</v>
      </c>
      <c r="M116" s="190" t="s">
        <v>47</v>
      </c>
      <c r="N116" s="50" t="str">
        <f>IF(AND('331-CT'!$E$7=TH!H116,OR(L116="331",M116="331")),"331",IF(AND(OR(L116="131",M116="131"),H116='131-CT'!$E$7),"131",""))</f>
        <v>331</v>
      </c>
      <c r="O116" s="50" t="str">
        <f>IF(AND($B116&gt;='111'!$N$11,$B116&lt;='111'!$O$11,OR($L116=$O$7,$M116=$O$7)),"x","")</f>
        <v>x</v>
      </c>
      <c r="P116" s="50" t="str">
        <f>IF(AND($L116=$O$7,$B116&lt;'111'!$N$11),"x","")</f>
        <v/>
      </c>
      <c r="Q116" s="50" t="str">
        <f>IF(AND($M116=$O$7,$B116&lt;'111'!$N$11),"x","")</f>
        <v/>
      </c>
      <c r="R116" s="50" t="str">
        <f>IF(ISERROR(FIND('112'!$M$9,G116,1)),"",IF((AND(FIND('112'!$M$9,G116,1)&gt;=1,$B116&gt;='112'!$N$8,$B116&lt;='112'!$O$8,OR($L116='112'!$I$6,$M116='112'!$I$6))),"x",""))</f>
        <v/>
      </c>
      <c r="S116" s="50" t="str">
        <f>IF(ISERROR(FIND('112'!$M$9,G116,1)),"",IF((AND(LEFT(G116,2)=LEFT('112'!$M$9,2),B116&lt;'112'!$N$8,$L116='112'!$I$6)),"x",""))</f>
        <v/>
      </c>
      <c r="T116" s="50" t="str">
        <f>IF(ISERROR(FIND('112'!$M$9,G116,1)),"",IF((AND(RIGHT(G116,2)=RIGHT('112'!$M$9,2),B116&lt;'112'!$N$8,$M116='112'!$I$6)),"x",""))</f>
        <v/>
      </c>
      <c r="U116" s="50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0" t="str">
        <f>IF(OR(TH!L116=TH!$V$7,M116=TH!$V$7),"x","")</f>
        <v/>
      </c>
      <c r="W116" s="50" t="str">
        <f>IF(AND(B116&gt;='IN-NX'!$P$3,B116&lt;='IN-NX'!$Q$3,'IN-NX'!$D$7=D116,OR(LEFT(L116,2)="15",AND(LEFT(M116,2)&lt;&gt;"15",LEFT(M116,2)&lt;&gt;"33"))),"x","")</f>
        <v/>
      </c>
      <c r="X116" s="50" t="str">
        <f>IF(AND(OR(LEFT(TH!L116,2)="15",LEFT(TH!M116,2)="15"),'152-CT'!$J$8=TH!F116),"x","")</f>
        <v/>
      </c>
      <c r="Y116" s="50" t="str">
        <f>IF(AND(OR(LEFT(TH!L116,2)="15",LEFT(TH!M116,2)="15"),TK!$E$7=TH!F116),"x","")</f>
        <v/>
      </c>
      <c r="Z116" s="50" t="str">
        <f>IF(AND(B116&lt;=NKC!$N$8,B116&gt;=NKC!$M$8),"x","")</f>
        <v/>
      </c>
      <c r="AA116" s="845"/>
      <c r="AB116" s="581"/>
    </row>
    <row r="117" spans="1:30" s="201" customFormat="1" ht="15.75" customHeight="1">
      <c r="A117" s="846" t="str">
        <f>IF(B117&lt;&gt;"",IF(AND(B117&gt;=_TM1,B117&lt;=_TM2,OR(TH!L117="1111",TH!M117="1111")),TH!D117,""),"")</f>
        <v>T03</v>
      </c>
      <c r="B117" s="36">
        <f>IF(C117&lt;&gt;"",MONTH(C117),"")</f>
        <v>11</v>
      </c>
      <c r="C117" s="187">
        <f>E117</f>
        <v>41236</v>
      </c>
      <c r="D117" s="180" t="s">
        <v>415</v>
      </c>
      <c r="E117" s="180">
        <v>41236</v>
      </c>
      <c r="F117" s="185" t="s">
        <v>721</v>
      </c>
      <c r="G117" s="853" t="s">
        <v>616</v>
      </c>
      <c r="H117" s="189" t="s">
        <v>727</v>
      </c>
      <c r="I117" s="249"/>
      <c r="J117" s="249"/>
      <c r="K117" s="589">
        <v>7500000</v>
      </c>
      <c r="L117" s="590" t="s">
        <v>47</v>
      </c>
      <c r="M117" s="590" t="s">
        <v>24</v>
      </c>
      <c r="N117" s="50" t="str">
        <f>IF(AND('331-CT'!$E$7=TH!H117,OR(L117="331",M117="331")),"331",IF(AND(OR(L117="131",M117="131"),H117='131-CT'!$E$7),"131",""))</f>
        <v/>
      </c>
      <c r="O117" s="50" t="str">
        <f>IF(AND($B117&gt;='111'!$N$11,$B117&lt;='111'!$O$11,OR($L117=$O$7,$M117=$O$7)),"x","")</f>
        <v>x</v>
      </c>
      <c r="P117" s="50" t="str">
        <f>IF(AND($L117=$O$7,$B117&lt;'111'!$N$11),"x","")</f>
        <v/>
      </c>
      <c r="Q117" s="50" t="str">
        <f>IF(AND($M117=$O$7,$B117&lt;'111'!$N$11),"x","")</f>
        <v/>
      </c>
      <c r="R117" s="50" t="str">
        <f>IF(ISERROR(FIND('112'!$M$9,G117,1)),"",IF((AND(FIND('112'!$M$9,G117,1)&gt;=1,$B117&gt;='112'!$N$8,$B117&lt;='112'!$O$8,OR($L117='112'!$I$6,$M117='112'!$I$6))),"x",""))</f>
        <v>x</v>
      </c>
      <c r="S117" s="50" t="str">
        <f>IF(ISERROR(FIND('112'!$M$9,G117,1)),"",IF((AND(LEFT(G117,2)=LEFT('112'!$M$9,2),B117&lt;'112'!$N$8,$L117='112'!$I$6)),"x",""))</f>
        <v/>
      </c>
      <c r="T117" s="50" t="str">
        <f>IF(ISERROR(FIND('112'!$M$9,G117,1)),"",IF((AND(RIGHT(G117,2)=RIGHT('112'!$M$9,2),B117&lt;'112'!$N$8,$M117='112'!$I$6)),"x",""))</f>
        <v/>
      </c>
      <c r="U117" s="50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0" t="str">
        <f>IF(OR(TH!L117=TH!$V$7,M117=TH!$V$7),"x","")</f>
        <v/>
      </c>
      <c r="W117" s="50" t="str">
        <f>IF(AND(B117&gt;='IN-NX'!$P$3,B117&lt;='IN-NX'!$Q$3,'IN-NX'!$D$7=D117,OR(LEFT(L117,2)="15",AND(LEFT(M117,2)&lt;&gt;"15",LEFT(M117,2)&lt;&gt;"33"))),"x","")</f>
        <v/>
      </c>
      <c r="X117" s="50" t="str">
        <f>IF(AND(OR(LEFT(TH!L117,2)="15",LEFT(TH!M117,2)="15"),'152-CT'!$J$8=TH!F117),"x","")</f>
        <v/>
      </c>
      <c r="Y117" s="50" t="str">
        <f>IF(AND(OR(LEFT(TH!L117,2)="15",LEFT(TH!M117,2)="15"),TK!$E$7=TH!F117),"x","")</f>
        <v/>
      </c>
      <c r="Z117" s="50" t="str">
        <f>IF(AND(B117&lt;=NKC!$N$8,B117&gt;=NKC!$M$8),"x","")</f>
        <v/>
      </c>
      <c r="AA117" s="845"/>
      <c r="AB117" s="581"/>
      <c r="AC117" s="581"/>
      <c r="AD117" s="581"/>
    </row>
    <row r="118" spans="1:30" s="201" customFormat="1" ht="15.75" customHeight="1">
      <c r="A118" s="846" t="str">
        <f>IF(B118&lt;&gt;"",IF(AND(B118&gt;=_TM1,B118&lt;=_TM2,OR(TH!L118="1111",TH!M118="1111")),TH!D118,""),"")</f>
        <v/>
      </c>
      <c r="B118" s="36">
        <f>IF(C118&lt;&gt;"",MONTH(C118),"")</f>
        <v>11</v>
      </c>
      <c r="C118" s="187">
        <f>E118</f>
        <v>41237</v>
      </c>
      <c r="D118" s="187" t="s">
        <v>759</v>
      </c>
      <c r="E118" s="180">
        <v>41237</v>
      </c>
      <c r="F118" s="185" t="s">
        <v>696</v>
      </c>
      <c r="G118" s="853" t="s">
        <v>695</v>
      </c>
      <c r="H118" s="7" t="s">
        <v>632</v>
      </c>
      <c r="I118" s="249">
        <v>150</v>
      </c>
      <c r="J118" s="249">
        <v>10230</v>
      </c>
      <c r="K118" s="37">
        <f>ROUND(I118*J118,0)</f>
        <v>1534500</v>
      </c>
      <c r="L118" s="190" t="s">
        <v>617</v>
      </c>
      <c r="M118" s="190" t="s">
        <v>8</v>
      </c>
      <c r="N118" s="50" t="str">
        <f>IF(AND('331-CT'!$E$7=TH!H118,OR(L118="331",M118="331")),"331",IF(AND(OR(L118="131",M118="131"),H118='131-CT'!$E$7),"131",""))</f>
        <v>331</v>
      </c>
      <c r="O118" s="50" t="str">
        <f>IF(AND($B118&gt;='111'!$N$11,$B118&lt;='111'!$O$11,OR($L118=$O$7,$M118=$O$7)),"x","")</f>
        <v/>
      </c>
      <c r="P118" s="50" t="str">
        <f>IF(AND($L118=$O$7,$B118&lt;'111'!$N$11),"x","")</f>
        <v/>
      </c>
      <c r="Q118" s="50" t="str">
        <f>IF(AND($M118=$O$7,$B118&lt;'111'!$N$11),"x","")</f>
        <v/>
      </c>
      <c r="R118" s="50" t="str">
        <f>IF(ISERROR(FIND('112'!$M$9,G118,1)),"",IF((AND(FIND('112'!$M$9,G118,1)&gt;=1,$B118&gt;='112'!$N$8,$B118&lt;='112'!$O$8,OR($L118='112'!$I$6,$M118='112'!$I$6))),"x",""))</f>
        <v/>
      </c>
      <c r="S118" s="50" t="str">
        <f>IF(ISERROR(FIND('112'!$M$9,G118,1)),"",IF((AND(LEFT(G118,2)=LEFT('112'!$M$9,2),B118&lt;'112'!$N$8,$L118='112'!$I$6)),"x",""))</f>
        <v/>
      </c>
      <c r="T118" s="50" t="str">
        <f>IF(ISERROR(FIND('112'!$M$9,G118,1)),"",IF((AND(RIGHT(G118,2)=RIGHT('112'!$M$9,2),B118&lt;'112'!$N$8,$M118='112'!$I$6)),"x",""))</f>
        <v/>
      </c>
      <c r="U118" s="50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0" t="str">
        <f>IF(OR(TH!L118=TH!$V$7,M118=TH!$V$7),"x","")</f>
        <v/>
      </c>
      <c r="W118" s="50" t="str">
        <f>IF(AND(B118&gt;='IN-NX'!$P$3,B118&lt;='IN-NX'!$Q$3,'IN-NX'!$D$7=D118,OR(LEFT(L118,2)="15",AND(LEFT(M118,2)&lt;&gt;"15",LEFT(M118,2)&lt;&gt;"33"))),"x","")</f>
        <v/>
      </c>
      <c r="X118" s="50" t="str">
        <f>IF(AND(OR(LEFT(TH!L118,2)="15",LEFT(TH!M118,2)="15"),'152-CT'!$J$8=TH!F118),"x","")</f>
        <v/>
      </c>
      <c r="Y118" s="50" t="str">
        <f>IF(AND(OR(LEFT(TH!L118,2)="15",LEFT(TH!M118,2)="15"),TK!$E$7=TH!F118),"x","")</f>
        <v/>
      </c>
      <c r="Z118" s="50" t="str">
        <f>IF(AND(B118&lt;=NKC!$N$8,B118&gt;=NKC!$M$8),"x","")</f>
        <v/>
      </c>
      <c r="AA118" s="845"/>
    </row>
    <row r="119" spans="1:30" s="201" customFormat="1" ht="15.75" customHeight="1">
      <c r="A119" s="846" t="str">
        <f>IF(B119&lt;&gt;"",IF(AND(B119&gt;=_TM1,B119&lt;=_TM2,OR(TH!L119="1111",TH!M119="1111")),TH!D119,""),"")</f>
        <v/>
      </c>
      <c r="B119" s="36">
        <f>IF(C119&lt;&gt;"",MONTH(C119),"")</f>
        <v>11</v>
      </c>
      <c r="C119" s="187">
        <f>E119</f>
        <v>41237</v>
      </c>
      <c r="D119" s="187" t="s">
        <v>759</v>
      </c>
      <c r="E119" s="180">
        <v>41237</v>
      </c>
      <c r="F119" s="185" t="s">
        <v>697</v>
      </c>
      <c r="G119" s="853" t="s">
        <v>695</v>
      </c>
      <c r="H119" s="7" t="s">
        <v>632</v>
      </c>
      <c r="I119" s="249">
        <v>502</v>
      </c>
      <c r="J119" s="249">
        <v>11186</v>
      </c>
      <c r="K119" s="37">
        <f>ROUND(I119*J119,0)</f>
        <v>5615372</v>
      </c>
      <c r="L119" s="190" t="s">
        <v>617</v>
      </c>
      <c r="M119" s="190" t="s">
        <v>8</v>
      </c>
      <c r="N119" s="50" t="str">
        <f>IF(AND('331-CT'!$E$7=TH!H119,OR(L119="331",M119="331")),"331",IF(AND(OR(L119="131",M119="131"),H119='131-CT'!$E$7),"131",""))</f>
        <v>331</v>
      </c>
      <c r="O119" s="50" t="str">
        <f>IF(AND($B119&gt;='111'!$N$11,$B119&lt;='111'!$O$11,OR($L119=$O$7,$M119=$O$7)),"x","")</f>
        <v/>
      </c>
      <c r="P119" s="50" t="str">
        <f>IF(AND($L119=$O$7,$B119&lt;'111'!$N$11),"x","")</f>
        <v/>
      </c>
      <c r="Q119" s="50" t="str">
        <f>IF(AND($M119=$O$7,$B119&lt;'111'!$N$11),"x","")</f>
        <v/>
      </c>
      <c r="R119" s="50" t="str">
        <f>IF(ISERROR(FIND('112'!$M$9,G119,1)),"",IF((AND(FIND('112'!$M$9,G119,1)&gt;=1,$B119&gt;='112'!$N$8,$B119&lt;='112'!$O$8,OR($L119='112'!$I$6,$M119='112'!$I$6))),"x",""))</f>
        <v/>
      </c>
      <c r="S119" s="50" t="str">
        <f>IF(ISERROR(FIND('112'!$M$9,G119,1)),"",IF((AND(LEFT(G119,2)=LEFT('112'!$M$9,2),B119&lt;'112'!$N$8,$L119='112'!$I$6)),"x",""))</f>
        <v/>
      </c>
      <c r="T119" s="50" t="str">
        <f>IF(ISERROR(FIND('112'!$M$9,G119,1)),"",IF((AND(RIGHT(G119,2)=RIGHT('112'!$M$9,2),B119&lt;'112'!$N$8,$M119='112'!$I$6)),"x",""))</f>
        <v/>
      </c>
      <c r="U119" s="50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0" t="str">
        <f>IF(OR(TH!L119=TH!$V$7,M119=TH!$V$7),"x","")</f>
        <v/>
      </c>
      <c r="W119" s="50" t="str">
        <f>IF(AND(B119&gt;='IN-NX'!$P$3,B119&lt;='IN-NX'!$Q$3,'IN-NX'!$D$7=D119,OR(LEFT(L119,2)="15",AND(LEFT(M119,2)&lt;&gt;"15",LEFT(M119,2)&lt;&gt;"33"))),"x","")</f>
        <v/>
      </c>
      <c r="X119" s="50" t="str">
        <f>IF(AND(OR(LEFT(TH!L119,2)="15",LEFT(TH!M119,2)="15"),'152-CT'!$J$8=TH!F119),"x","")</f>
        <v/>
      </c>
      <c r="Y119" s="50" t="str">
        <f>IF(AND(OR(LEFT(TH!L119,2)="15",LEFT(TH!M119,2)="15"),TK!$E$7=TH!F119),"x","")</f>
        <v/>
      </c>
      <c r="Z119" s="50" t="str">
        <f>IF(AND(B119&lt;=NKC!$N$8,B119&gt;=NKC!$M$8),"x","")</f>
        <v/>
      </c>
      <c r="AA119" s="845"/>
    </row>
    <row r="120" spans="1:30" s="201" customFormat="1" ht="15.75" customHeight="1">
      <c r="A120" s="846" t="str">
        <f>IF(B120&lt;&gt;"",IF(AND(B120&gt;=_TM1,B120&lt;=_TM2,OR(TH!L120="1111",TH!M120="1111")),TH!D120,""),"")</f>
        <v/>
      </c>
      <c r="B120" s="36">
        <f>IF(C120&lt;&gt;"",MONTH(C120),"")</f>
        <v>11</v>
      </c>
      <c r="C120" s="187">
        <f>E120</f>
        <v>41237</v>
      </c>
      <c r="D120" s="187" t="s">
        <v>759</v>
      </c>
      <c r="E120" s="180">
        <v>41237</v>
      </c>
      <c r="F120" s="185" t="s">
        <v>634</v>
      </c>
      <c r="G120" s="853" t="s">
        <v>695</v>
      </c>
      <c r="H120" s="7" t="s">
        <v>632</v>
      </c>
      <c r="I120" s="249"/>
      <c r="J120" s="249"/>
      <c r="K120" s="37">
        <v>714987</v>
      </c>
      <c r="L120" s="190" t="s">
        <v>9</v>
      </c>
      <c r="M120" s="190" t="s">
        <v>8</v>
      </c>
      <c r="N120" s="50" t="str">
        <f>IF(AND('331-CT'!$E$7=TH!H120,OR(L120="331",M120="331")),"331",IF(AND(OR(L120="131",M120="131"),H120='131-CT'!$E$7),"131",""))</f>
        <v>331</v>
      </c>
      <c r="O120" s="50" t="str">
        <f>IF(AND($B120&gt;='111'!$N$11,$B120&lt;='111'!$O$11,OR($L120=$O$7,$M120=$O$7)),"x","")</f>
        <v/>
      </c>
      <c r="P120" s="50" t="str">
        <f>IF(AND($L120=$O$7,$B120&lt;'111'!$N$11),"x","")</f>
        <v/>
      </c>
      <c r="Q120" s="50" t="str">
        <f>IF(AND($M120=$O$7,$B120&lt;'111'!$N$11),"x","")</f>
        <v/>
      </c>
      <c r="R120" s="50" t="str">
        <f>IF(ISERROR(FIND('112'!$M$9,G120,1)),"",IF((AND(FIND('112'!$M$9,G120,1)&gt;=1,$B120&gt;='112'!$N$8,$B120&lt;='112'!$O$8,OR($L120='112'!$I$6,$M120='112'!$I$6))),"x",""))</f>
        <v/>
      </c>
      <c r="S120" s="50" t="str">
        <f>IF(ISERROR(FIND('112'!$M$9,G120,1)),"",IF((AND(LEFT(G120,2)=LEFT('112'!$M$9,2),B120&lt;'112'!$N$8,$L120='112'!$I$6)),"x",""))</f>
        <v/>
      </c>
      <c r="T120" s="50" t="str">
        <f>IF(ISERROR(FIND('112'!$M$9,G120,1)),"",IF((AND(RIGHT(G120,2)=RIGHT('112'!$M$9,2),B120&lt;'112'!$N$8,$M120='112'!$I$6)),"x",""))</f>
        <v/>
      </c>
      <c r="U120" s="50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0" t="str">
        <f>IF(OR(TH!L120=TH!$V$7,M120=TH!$V$7),"x","")</f>
        <v/>
      </c>
      <c r="W120" s="50" t="str">
        <f>IF(AND(B120&gt;='IN-NX'!$P$3,B120&lt;='IN-NX'!$Q$3,'IN-NX'!$D$7=D120,OR(LEFT(L120,2)="15",AND(LEFT(M120,2)&lt;&gt;"15",LEFT(M120,2)&lt;&gt;"33"))),"x","")</f>
        <v/>
      </c>
      <c r="X120" s="50" t="str">
        <f>IF(AND(OR(LEFT(TH!L120,2)="15",LEFT(TH!M120,2)="15"),'152-CT'!$J$8=TH!F120),"x","")</f>
        <v/>
      </c>
      <c r="Y120" s="50" t="str">
        <f>IF(AND(OR(LEFT(TH!L120,2)="15",LEFT(TH!M120,2)="15"),TK!$E$7=TH!F120),"x","")</f>
        <v/>
      </c>
      <c r="Z120" s="50" t="str">
        <f>IF(AND(B120&lt;=NKC!$N$8,B120&gt;=NKC!$M$8),"x","")</f>
        <v/>
      </c>
      <c r="AA120" s="845"/>
    </row>
    <row r="121" spans="1:30" s="201" customFormat="1" ht="15.75" customHeight="1">
      <c r="A121" s="846" t="str">
        <f>IF(B121&lt;&gt;"",IF(AND(B121&gt;=_TM1,B121&lt;=_TM2,OR(TH!L121="1111",TH!M121="1111")),TH!D121,""),"")</f>
        <v>C19</v>
      </c>
      <c r="B121" s="36">
        <f>IF(C121&lt;&gt;"",MONTH(C121),"")</f>
        <v>11</v>
      </c>
      <c r="C121" s="187">
        <f>E121</f>
        <v>41237</v>
      </c>
      <c r="D121" s="187" t="s">
        <v>760</v>
      </c>
      <c r="E121" s="180">
        <v>41237</v>
      </c>
      <c r="F121" s="185" t="s">
        <v>730</v>
      </c>
      <c r="G121" s="853" t="s">
        <v>695</v>
      </c>
      <c r="H121" s="7" t="s">
        <v>632</v>
      </c>
      <c r="I121" s="249"/>
      <c r="J121" s="249"/>
      <c r="K121" s="37">
        <v>7864859</v>
      </c>
      <c r="L121" s="190" t="s">
        <v>8</v>
      </c>
      <c r="M121" s="190" t="s">
        <v>47</v>
      </c>
      <c r="N121" s="50" t="str">
        <f>IF(AND('331-CT'!$E$7=TH!H121,OR(L121="331",M121="331")),"331",IF(AND(OR(L121="131",M121="131"),H121='131-CT'!$E$7),"131",""))</f>
        <v>331</v>
      </c>
      <c r="O121" s="50" t="str">
        <f>IF(AND($B121&gt;='111'!$N$11,$B121&lt;='111'!$O$11,OR($L121=$O$7,$M121=$O$7)),"x","")</f>
        <v>x</v>
      </c>
      <c r="P121" s="50" t="str">
        <f>IF(AND($L121=$O$7,$B121&lt;'111'!$N$11),"x","")</f>
        <v/>
      </c>
      <c r="Q121" s="50" t="str">
        <f>IF(AND($M121=$O$7,$B121&lt;'111'!$N$11),"x","")</f>
        <v/>
      </c>
      <c r="R121" s="50" t="str">
        <f>IF(ISERROR(FIND('112'!$M$9,G121,1)),"",IF((AND(FIND('112'!$M$9,G121,1)&gt;=1,$B121&gt;='112'!$N$8,$B121&lt;='112'!$O$8,OR($L121='112'!$I$6,$M121='112'!$I$6))),"x",""))</f>
        <v/>
      </c>
      <c r="S121" s="50" t="str">
        <f>IF(ISERROR(FIND('112'!$M$9,G121,1)),"",IF((AND(LEFT(G121,2)=LEFT('112'!$M$9,2),B121&lt;'112'!$N$8,$L121='112'!$I$6)),"x",""))</f>
        <v/>
      </c>
      <c r="T121" s="50" t="str">
        <f>IF(ISERROR(FIND('112'!$M$9,G121,1)),"",IF((AND(RIGHT(G121,2)=RIGHT('112'!$M$9,2),B121&lt;'112'!$N$8,$M121='112'!$I$6)),"x",""))</f>
        <v/>
      </c>
      <c r="U121" s="50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0" t="str">
        <f>IF(OR(TH!L121=TH!$V$7,M121=TH!$V$7),"x","")</f>
        <v/>
      </c>
      <c r="W121" s="50" t="str">
        <f>IF(AND(B121&gt;='IN-NX'!$P$3,B121&lt;='IN-NX'!$Q$3,'IN-NX'!$D$7=D121,OR(LEFT(L121,2)="15",AND(LEFT(M121,2)&lt;&gt;"15",LEFT(M121,2)&lt;&gt;"33"))),"x","")</f>
        <v/>
      </c>
      <c r="X121" s="50" t="str">
        <f>IF(AND(OR(LEFT(TH!L121,2)="15",LEFT(TH!M121,2)="15"),'152-CT'!$J$8=TH!F121),"x","")</f>
        <v/>
      </c>
      <c r="Y121" s="50" t="str">
        <f>IF(AND(OR(LEFT(TH!L121,2)="15",LEFT(TH!M121,2)="15"),TK!$E$7=TH!F121),"x","")</f>
        <v/>
      </c>
      <c r="Z121" s="50" t="str">
        <f>IF(AND(B121&lt;=NKC!$N$8,B121&gt;=NKC!$M$8),"x","")</f>
        <v/>
      </c>
      <c r="AA121" s="845"/>
      <c r="AB121" s="581"/>
    </row>
    <row r="122" spans="1:30" s="201" customFormat="1" ht="15.75" customHeight="1">
      <c r="A122" s="846" t="str">
        <f>IF(B122&lt;&gt;"",IF(AND(B122&gt;=_TM1,B122&lt;=_TM2,OR(TH!L122="1111",TH!M122="1111")),TH!D122,""),"")</f>
        <v>C20</v>
      </c>
      <c r="B122" s="36">
        <f>IF(C122&lt;&gt;"",MONTH(C122),"")</f>
        <v>11</v>
      </c>
      <c r="C122" s="187">
        <f>E122</f>
        <v>41237</v>
      </c>
      <c r="D122" s="187" t="s">
        <v>761</v>
      </c>
      <c r="E122" s="180">
        <v>41237</v>
      </c>
      <c r="F122" s="188" t="s">
        <v>646</v>
      </c>
      <c r="G122" s="853" t="s">
        <v>698</v>
      </c>
      <c r="H122" s="7" t="s">
        <v>644</v>
      </c>
      <c r="I122" s="249">
        <v>100</v>
      </c>
      <c r="J122" s="249">
        <v>25200</v>
      </c>
      <c r="K122" s="37">
        <f>ROUND(I122*J122,0)</f>
        <v>2520000</v>
      </c>
      <c r="L122" s="190" t="s">
        <v>167</v>
      </c>
      <c r="M122" s="190" t="s">
        <v>47</v>
      </c>
      <c r="N122" s="50" t="str">
        <f>IF(AND('331-CT'!$E$7=TH!H122,OR(L122="331",M122="331")),"331",IF(AND(OR(L122="131",M122="131"),H122='131-CT'!$E$7),"131",""))</f>
        <v/>
      </c>
      <c r="O122" s="50" t="str">
        <f>IF(AND($B122&gt;='111'!$N$11,$B122&lt;='111'!$O$11,OR($L122=$O$7,$M122=$O$7)),"x","")</f>
        <v>x</v>
      </c>
      <c r="P122" s="50" t="str">
        <f>IF(AND($L122=$O$7,$B122&lt;'111'!$N$11),"x","")</f>
        <v/>
      </c>
      <c r="Q122" s="50" t="str">
        <f>IF(AND($M122=$O$7,$B122&lt;'111'!$N$11),"x","")</f>
        <v/>
      </c>
      <c r="R122" s="50" t="str">
        <f>IF(ISERROR(FIND('112'!$M$9,G122,1)),"",IF((AND(FIND('112'!$M$9,G122,1)&gt;=1,$B122&gt;='112'!$N$8,$B122&lt;='112'!$O$8,OR($L122='112'!$I$6,$M122='112'!$I$6))),"x",""))</f>
        <v/>
      </c>
      <c r="S122" s="50" t="str">
        <f>IF(ISERROR(FIND('112'!$M$9,G122,1)),"",IF((AND(LEFT(G122,2)=LEFT('112'!$M$9,2),B122&lt;'112'!$N$8,$L122='112'!$I$6)),"x",""))</f>
        <v/>
      </c>
      <c r="T122" s="50" t="str">
        <f>IF(ISERROR(FIND('112'!$M$9,G122,1)),"",IF((AND(RIGHT(G122,2)=RIGHT('112'!$M$9,2),B122&lt;'112'!$N$8,$M122='112'!$I$6)),"x",""))</f>
        <v/>
      </c>
      <c r="U122" s="50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0" t="str">
        <f>IF(OR(TH!L122=TH!$V$7,M122=TH!$V$7),"x","")</f>
        <v/>
      </c>
      <c r="W122" s="50" t="str">
        <f>IF(AND(B122&gt;='IN-NX'!$P$3,B122&lt;='IN-NX'!$Q$3,'IN-NX'!$D$7=D122,OR(LEFT(L122,2)="15",AND(LEFT(M122,2)&lt;&gt;"15",LEFT(M122,2)&lt;&gt;"33"))),"x","")</f>
        <v/>
      </c>
      <c r="X122" s="50" t="str">
        <f>IF(AND(OR(LEFT(TH!L122,2)="15",LEFT(TH!M122,2)="15"),'152-CT'!$J$8=TH!F122),"x","")</f>
        <v/>
      </c>
      <c r="Y122" s="50" t="str">
        <f>IF(AND(OR(LEFT(TH!L122,2)="15",LEFT(TH!M122,2)="15"),TK!$E$7=TH!F122),"x","")</f>
        <v/>
      </c>
      <c r="Z122" s="50" t="str">
        <f>IF(AND(B122&lt;=NKC!$N$8,B122&gt;=NKC!$M$8),"x","")</f>
        <v/>
      </c>
      <c r="AA122" s="845"/>
    </row>
    <row r="123" spans="1:30" s="201" customFormat="1" ht="15.75" customHeight="1">
      <c r="A123" s="846" t="str">
        <f>IF(B123&lt;&gt;"",IF(AND(B123&gt;=_TM1,B123&lt;=_TM2,OR(TH!L123="1111",TH!M123="1111")),TH!D123,""),"")</f>
        <v>C20</v>
      </c>
      <c r="B123" s="36">
        <f>IF(C123&lt;&gt;"",MONTH(C123),"")</f>
        <v>11</v>
      </c>
      <c r="C123" s="187">
        <f>E123</f>
        <v>41237</v>
      </c>
      <c r="D123" s="187" t="s">
        <v>761</v>
      </c>
      <c r="E123" s="180">
        <v>41237</v>
      </c>
      <c r="F123" s="188" t="s">
        <v>647</v>
      </c>
      <c r="G123" s="853" t="s">
        <v>698</v>
      </c>
      <c r="H123" s="7" t="s">
        <v>644</v>
      </c>
      <c r="I123" s="249"/>
      <c r="J123" s="249"/>
      <c r="K123" s="589">
        <v>252000</v>
      </c>
      <c r="L123" s="190" t="s">
        <v>9</v>
      </c>
      <c r="M123" s="190" t="s">
        <v>47</v>
      </c>
      <c r="N123" s="50" t="str">
        <f>IF(AND('331-CT'!$E$7=TH!H123,OR(L123="331",M123="331")),"331",IF(AND(OR(L123="131",M123="131"),H123='131-CT'!$E$7),"131",""))</f>
        <v/>
      </c>
      <c r="O123" s="50" t="str">
        <f>IF(AND($B123&gt;='111'!$N$11,$B123&lt;='111'!$O$11,OR($L123=$O$7,$M123=$O$7)),"x","")</f>
        <v>x</v>
      </c>
      <c r="P123" s="50" t="str">
        <f>IF(AND($L123=$O$7,$B123&lt;'111'!$N$11),"x","")</f>
        <v/>
      </c>
      <c r="Q123" s="50" t="str">
        <f>IF(AND($M123=$O$7,$B123&lt;'111'!$N$11),"x","")</f>
        <v/>
      </c>
      <c r="R123" s="50" t="str">
        <f>IF(ISERROR(FIND('112'!$M$9,G123,1)),"",IF((AND(FIND('112'!$M$9,G123,1)&gt;=1,$B123&gt;='112'!$N$8,$B123&lt;='112'!$O$8,OR($L123='112'!$I$6,$M123='112'!$I$6))),"x",""))</f>
        <v/>
      </c>
      <c r="S123" s="50" t="str">
        <f>IF(ISERROR(FIND('112'!$M$9,G123,1)),"",IF((AND(LEFT(G123,2)=LEFT('112'!$M$9,2),B123&lt;'112'!$N$8,$L123='112'!$I$6)),"x",""))</f>
        <v/>
      </c>
      <c r="T123" s="50" t="str">
        <f>IF(ISERROR(FIND('112'!$M$9,G123,1)),"",IF((AND(RIGHT(G123,2)=RIGHT('112'!$M$9,2),B123&lt;'112'!$N$8,$M123='112'!$I$6)),"x",""))</f>
        <v/>
      </c>
      <c r="U123" s="50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0" t="str">
        <f>IF(OR(TH!L123=TH!$V$7,M123=TH!$V$7),"x","")</f>
        <v/>
      </c>
      <c r="W123" s="50" t="str">
        <f>IF(AND(B123&gt;='IN-NX'!$P$3,B123&lt;='IN-NX'!$Q$3,'IN-NX'!$D$7=D123,OR(LEFT(L123,2)="15",AND(LEFT(M123,2)&lt;&gt;"15",LEFT(M123,2)&lt;&gt;"33"))),"x","")</f>
        <v/>
      </c>
      <c r="X123" s="50" t="str">
        <f>IF(AND(OR(LEFT(TH!L123,2)="15",LEFT(TH!M123,2)="15"),'152-CT'!$J$8=TH!F123),"x","")</f>
        <v/>
      </c>
      <c r="Y123" s="50" t="str">
        <f>IF(AND(OR(LEFT(TH!L123,2)="15",LEFT(TH!M123,2)="15"),TK!$E$7=TH!F123),"x","")</f>
        <v/>
      </c>
      <c r="Z123" s="50" t="str">
        <f>IF(AND(B123&lt;=NKC!$N$8,B123&gt;=NKC!$M$8),"x","")</f>
        <v/>
      </c>
      <c r="AA123" s="845"/>
      <c r="AB123" s="581"/>
      <c r="AC123" s="581"/>
      <c r="AD123" s="581"/>
    </row>
    <row r="124" spans="1:30" s="201" customFormat="1" ht="15.75" customHeight="1">
      <c r="A124" s="846" t="str">
        <f>IF(B124&lt;&gt;"",IF(AND(B124&gt;=_TM1,B124&lt;=_TM2,OR(TH!L124="1111",TH!M124="1111")),TH!D124,""),"")</f>
        <v/>
      </c>
      <c r="B124" s="36">
        <f>IF(C124&lt;&gt;"",MONTH(C124),"")</f>
        <v>11</v>
      </c>
      <c r="C124" s="187">
        <f>E124</f>
        <v>41238</v>
      </c>
      <c r="D124" s="180" t="s">
        <v>715</v>
      </c>
      <c r="E124" s="180">
        <v>41238</v>
      </c>
      <c r="F124" s="185" t="s">
        <v>723</v>
      </c>
      <c r="G124" s="853" t="s">
        <v>616</v>
      </c>
      <c r="H124" s="189"/>
      <c r="I124" s="249"/>
      <c r="J124" s="249"/>
      <c r="K124" s="589">
        <v>15290</v>
      </c>
      <c r="L124" s="590" t="s">
        <v>24</v>
      </c>
      <c r="M124" s="590" t="s">
        <v>40</v>
      </c>
      <c r="N124" s="50" t="str">
        <f>IF(AND('331-CT'!$E$7=TH!H124,OR(L124="331",M124="331")),"331",IF(AND(OR(L124="131",M124="131"),H124='131-CT'!$E$7),"131",""))</f>
        <v/>
      </c>
      <c r="O124" s="50" t="str">
        <f>IF(AND($B124&gt;='111'!$N$11,$B124&lt;='111'!$O$11,OR($L124=$O$7,$M124=$O$7)),"x","")</f>
        <v/>
      </c>
      <c r="P124" s="50" t="str">
        <f>IF(AND($L124=$O$7,$B124&lt;'111'!$N$11),"x","")</f>
        <v/>
      </c>
      <c r="Q124" s="50" t="str">
        <f>IF(AND($M124=$O$7,$B124&lt;'111'!$N$11),"x","")</f>
        <v/>
      </c>
      <c r="R124" s="50" t="str">
        <f>IF(ISERROR(FIND('112'!$M$9,G124,1)),"",IF((AND(FIND('112'!$M$9,G124,1)&gt;=1,$B124&gt;='112'!$N$8,$B124&lt;='112'!$O$8,OR($L124='112'!$I$6,$M124='112'!$I$6))),"x",""))</f>
        <v>x</v>
      </c>
      <c r="S124" s="50" t="str">
        <f>IF(ISERROR(FIND('112'!$M$9,G124,1)),"",IF((AND(LEFT(G124,2)=LEFT('112'!$M$9,2),B124&lt;'112'!$N$8,$L124='112'!$I$6)),"x",""))</f>
        <v/>
      </c>
      <c r="T124" s="50" t="str">
        <f>IF(ISERROR(FIND('112'!$M$9,G124,1)),"",IF((AND(RIGHT(G124,2)=RIGHT('112'!$M$9,2),B124&lt;'112'!$N$8,$M124='112'!$I$6)),"x",""))</f>
        <v/>
      </c>
      <c r="U124" s="50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0" t="str">
        <f>IF(OR(TH!L124=TH!$V$7,M124=TH!$V$7),"x","")</f>
        <v/>
      </c>
      <c r="W124" s="50" t="str">
        <f>IF(AND(B124&gt;='IN-NX'!$P$3,B124&lt;='IN-NX'!$Q$3,'IN-NX'!$D$7=D124,OR(LEFT(L124,2)="15",AND(LEFT(M124,2)&lt;&gt;"15",LEFT(M124,2)&lt;&gt;"33"))),"x","")</f>
        <v/>
      </c>
      <c r="X124" s="50" t="str">
        <f>IF(AND(OR(LEFT(TH!L124,2)="15",LEFT(TH!M124,2)="15"),'152-CT'!$J$8=TH!F124),"x","")</f>
        <v/>
      </c>
      <c r="Y124" s="50" t="str">
        <f>IF(AND(OR(LEFT(TH!L124,2)="15",LEFT(TH!M124,2)="15"),TK!$E$7=TH!F124),"x","")</f>
        <v/>
      </c>
      <c r="Z124" s="50" t="str">
        <f>IF(AND(B124&lt;=NKC!$N$8,B124&gt;=NKC!$M$8),"x","")</f>
        <v/>
      </c>
      <c r="AA124" s="845"/>
      <c r="AB124" s="581"/>
      <c r="AC124" s="581"/>
      <c r="AD124" s="581"/>
    </row>
    <row r="125" spans="1:30" s="201" customFormat="1" ht="15.75" customHeight="1">
      <c r="A125" s="846" t="str">
        <f>IF(B125&lt;&gt;"",IF(AND(B125&gt;=_TM1,B125&lt;=_TM2,OR(TH!L125="1111",TH!M125="1111")),TH!D125,""),"")</f>
        <v/>
      </c>
      <c r="B125" s="36">
        <f>IF(C125&lt;&gt;"",MONTH(C125),"")</f>
        <v>11</v>
      </c>
      <c r="C125" s="187">
        <f>E125</f>
        <v>41238</v>
      </c>
      <c r="D125" s="180" t="s">
        <v>729</v>
      </c>
      <c r="E125" s="180">
        <v>41238</v>
      </c>
      <c r="F125" s="185" t="s">
        <v>717</v>
      </c>
      <c r="G125" s="853" t="s">
        <v>616</v>
      </c>
      <c r="H125" s="189"/>
      <c r="I125" s="249"/>
      <c r="J125" s="249"/>
      <c r="K125" s="589">
        <v>11000</v>
      </c>
      <c r="L125" s="590" t="s">
        <v>83</v>
      </c>
      <c r="M125" s="590" t="s">
        <v>24</v>
      </c>
      <c r="N125" s="50" t="str">
        <f>IF(AND('331-CT'!$E$7=TH!H125,OR(L125="331",M125="331")),"331",IF(AND(OR(L125="131",M125="131"),H125='131-CT'!$E$7),"131",""))</f>
        <v/>
      </c>
      <c r="O125" s="50" t="str">
        <f>IF(AND($B125&gt;='111'!$N$11,$B125&lt;='111'!$O$11,OR($L125=$O$7,$M125=$O$7)),"x","")</f>
        <v/>
      </c>
      <c r="P125" s="50" t="str">
        <f>IF(AND($L125=$O$7,$B125&lt;'111'!$N$11),"x","")</f>
        <v/>
      </c>
      <c r="Q125" s="50" t="str">
        <f>IF(AND($M125=$O$7,$B125&lt;'111'!$N$11),"x","")</f>
        <v/>
      </c>
      <c r="R125" s="50" t="str">
        <f>IF(ISERROR(FIND('112'!$M$9,G125,1)),"",IF((AND(FIND('112'!$M$9,G125,1)&gt;=1,$B125&gt;='112'!$N$8,$B125&lt;='112'!$O$8,OR($L125='112'!$I$6,$M125='112'!$I$6))),"x",""))</f>
        <v>x</v>
      </c>
      <c r="S125" s="50" t="str">
        <f>IF(ISERROR(FIND('112'!$M$9,G125,1)),"",IF((AND(LEFT(G125,2)=LEFT('112'!$M$9,2),B125&lt;'112'!$N$8,$L125='112'!$I$6)),"x",""))</f>
        <v/>
      </c>
      <c r="T125" s="50" t="str">
        <f>IF(ISERROR(FIND('112'!$M$9,G125,1)),"",IF((AND(RIGHT(G125,2)=RIGHT('112'!$M$9,2),B125&lt;'112'!$N$8,$M125='112'!$I$6)),"x",""))</f>
        <v/>
      </c>
      <c r="U125" s="50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0" t="str">
        <f>IF(OR(TH!L125=TH!$V$7,M125=TH!$V$7),"x","")</f>
        <v>x</v>
      </c>
      <c r="W125" s="50" t="str">
        <f>IF(AND(B125&gt;='IN-NX'!$P$3,B125&lt;='IN-NX'!$Q$3,'IN-NX'!$D$7=D125,OR(LEFT(L125,2)="15",AND(LEFT(M125,2)&lt;&gt;"15",LEFT(M125,2)&lt;&gt;"33"))),"x","")</f>
        <v/>
      </c>
      <c r="X125" s="50" t="str">
        <f>IF(AND(OR(LEFT(TH!L125,2)="15",LEFT(TH!M125,2)="15"),'152-CT'!$J$8=TH!F125),"x","")</f>
        <v/>
      </c>
      <c r="Y125" s="50" t="str">
        <f>IF(AND(OR(LEFT(TH!L125,2)="15",LEFT(TH!M125,2)="15"),TK!$E$7=TH!F125),"x","")</f>
        <v/>
      </c>
      <c r="Z125" s="50" t="str">
        <f>IF(AND(B125&lt;=NKC!$N$8,B125&gt;=NKC!$M$8),"x","")</f>
        <v/>
      </c>
      <c r="AA125" s="845"/>
      <c r="AB125" s="581"/>
      <c r="AC125" s="581"/>
      <c r="AD125" s="581"/>
    </row>
    <row r="126" spans="1:30" s="201" customFormat="1" ht="15.75" customHeight="1">
      <c r="A126" s="846" t="str">
        <f>IF(B126&lt;&gt;"",IF(AND(B126&gt;=_TM1,B126&lt;=_TM2,OR(TH!L126="1111",TH!M126="1111")),TH!D126,""),"")</f>
        <v/>
      </c>
      <c r="B126" s="36">
        <f>IF(C126&lt;&gt;"",MONTH(C126),"")</f>
        <v>11</v>
      </c>
      <c r="C126" s="187">
        <f>E126</f>
        <v>41242</v>
      </c>
      <c r="D126" s="180" t="s">
        <v>715</v>
      </c>
      <c r="E126" s="180">
        <v>41242</v>
      </c>
      <c r="F126" s="185" t="s">
        <v>718</v>
      </c>
      <c r="G126" s="853" t="s">
        <v>616</v>
      </c>
      <c r="H126" s="189" t="s">
        <v>726</v>
      </c>
      <c r="I126" s="249"/>
      <c r="J126" s="249"/>
      <c r="K126" s="589">
        <v>8415000</v>
      </c>
      <c r="L126" s="590" t="s">
        <v>24</v>
      </c>
      <c r="M126" s="590" t="s">
        <v>269</v>
      </c>
      <c r="N126" s="50" t="str">
        <f>IF(AND('331-CT'!$E$7=TH!H126,OR(L126="331",M126="331")),"331",IF(AND(OR(L126="131",M126="131"),H126='131-CT'!$E$7),"131",""))</f>
        <v/>
      </c>
      <c r="O126" s="50" t="str">
        <f>IF(AND($B126&gt;='111'!$N$11,$B126&lt;='111'!$O$11,OR($L126=$O$7,$M126=$O$7)),"x","")</f>
        <v/>
      </c>
      <c r="P126" s="50" t="str">
        <f>IF(AND($L126=$O$7,$B126&lt;'111'!$N$11),"x","")</f>
        <v/>
      </c>
      <c r="Q126" s="50" t="str">
        <f>IF(AND($M126=$O$7,$B126&lt;'111'!$N$11),"x","")</f>
        <v/>
      </c>
      <c r="R126" s="50" t="str">
        <f>IF(ISERROR(FIND('112'!$M$9,G126,1)),"",IF((AND(FIND('112'!$M$9,G126,1)&gt;=1,$B126&gt;='112'!$N$8,$B126&lt;='112'!$O$8,OR($L126='112'!$I$6,$M126='112'!$I$6))),"x",""))</f>
        <v>x</v>
      </c>
      <c r="S126" s="50" t="str">
        <f>IF(ISERROR(FIND('112'!$M$9,G126,1)),"",IF((AND(LEFT(G126,2)=LEFT('112'!$M$9,2),B126&lt;'112'!$N$8,$L126='112'!$I$6)),"x",""))</f>
        <v/>
      </c>
      <c r="T126" s="50" t="str">
        <f>IF(ISERROR(FIND('112'!$M$9,G126,1)),"",IF((AND(RIGHT(G126,2)=RIGHT('112'!$M$9,2),B126&lt;'112'!$N$8,$M126='112'!$I$6)),"x",""))</f>
        <v/>
      </c>
      <c r="U126" s="50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0" t="str">
        <f>IF(OR(TH!L126=TH!$V$7,M126=TH!$V$7),"x","")</f>
        <v/>
      </c>
      <c r="W126" s="50" t="str">
        <f>IF(AND(B126&gt;='IN-NX'!$P$3,B126&lt;='IN-NX'!$Q$3,'IN-NX'!$D$7=D126,OR(LEFT(L126,2)="15",AND(LEFT(M126,2)&lt;&gt;"15",LEFT(M126,2)&lt;&gt;"33"))),"x","")</f>
        <v/>
      </c>
      <c r="X126" s="50" t="str">
        <f>IF(AND(OR(LEFT(TH!L126,2)="15",LEFT(TH!M126,2)="15"),'152-CT'!$J$8=TH!F126),"x","")</f>
        <v/>
      </c>
      <c r="Y126" s="50" t="str">
        <f>IF(AND(OR(LEFT(TH!L126,2)="15",LEFT(TH!M126,2)="15"),TK!$E$7=TH!F126),"x","")</f>
        <v/>
      </c>
      <c r="Z126" s="50" t="str">
        <f>IF(AND(B126&lt;=NKC!$N$8,B126&gt;=NKC!$M$8),"x","")</f>
        <v/>
      </c>
      <c r="AA126" s="845"/>
      <c r="AB126" s="581"/>
      <c r="AC126" s="581"/>
      <c r="AD126" s="581"/>
    </row>
    <row r="127" spans="1:30" s="201" customFormat="1" ht="15.75" customHeight="1">
      <c r="A127" s="846" t="str">
        <f>IF(B127&lt;&gt;"",IF(AND(B127&gt;=_TM1,B127&lt;=_TM2,OR(TH!L127="1111",TH!M127="1111")),TH!D127,""),"")</f>
        <v>C21</v>
      </c>
      <c r="B127" s="36">
        <f>IF(C127&lt;&gt;"",MONTH(C127),"")</f>
        <v>11</v>
      </c>
      <c r="C127" s="187">
        <f>E127</f>
        <v>41242</v>
      </c>
      <c r="D127" s="187" t="s">
        <v>416</v>
      </c>
      <c r="E127" s="180">
        <v>41242</v>
      </c>
      <c r="F127" s="185" t="s">
        <v>679</v>
      </c>
      <c r="G127" s="853" t="s">
        <v>681</v>
      </c>
      <c r="H127" s="189" t="s">
        <v>678</v>
      </c>
      <c r="I127" s="249"/>
      <c r="J127" s="249"/>
      <c r="K127" s="37">
        <v>3000000</v>
      </c>
      <c r="L127" s="190" t="s">
        <v>83</v>
      </c>
      <c r="M127" s="190" t="s">
        <v>47</v>
      </c>
      <c r="N127" s="50" t="str">
        <f>IF(AND('331-CT'!$E$7=TH!H127,OR(L127="331",M127="331")),"331",IF(AND(OR(L127="131",M127="131"),H127='131-CT'!$E$7),"131",""))</f>
        <v/>
      </c>
      <c r="O127" s="50" t="str">
        <f>IF(AND($B127&gt;='111'!$N$11,$B127&lt;='111'!$O$11,OR($L127=$O$7,$M127=$O$7)),"x","")</f>
        <v>x</v>
      </c>
      <c r="P127" s="50" t="str">
        <f>IF(AND($L127=$O$7,$B127&lt;'111'!$N$11),"x","")</f>
        <v/>
      </c>
      <c r="Q127" s="50" t="str">
        <f>IF(AND($M127=$O$7,$B127&lt;'111'!$N$11),"x","")</f>
        <v/>
      </c>
      <c r="R127" s="50" t="str">
        <f>IF(ISERROR(FIND('112'!$M$9,G127,1)),"",IF((AND(FIND('112'!$M$9,G127,1)&gt;=1,$B127&gt;='112'!$N$8,$B127&lt;='112'!$O$8,OR($L127='112'!$I$6,$M127='112'!$I$6))),"x",""))</f>
        <v/>
      </c>
      <c r="S127" s="50" t="str">
        <f>IF(ISERROR(FIND('112'!$M$9,G127,1)),"",IF((AND(LEFT(G127,2)=LEFT('112'!$M$9,2),B127&lt;'112'!$N$8,$L127='112'!$I$6)),"x",""))</f>
        <v/>
      </c>
      <c r="T127" s="50" t="str">
        <f>IF(ISERROR(FIND('112'!$M$9,G127,1)),"",IF((AND(RIGHT(G127,2)=RIGHT('112'!$M$9,2),B127&lt;'112'!$N$8,$M127='112'!$I$6)),"x",""))</f>
        <v/>
      </c>
      <c r="U127" s="50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0" t="str">
        <f>IF(OR(TH!L127=TH!$V$7,M127=TH!$V$7),"x","")</f>
        <v>x</v>
      </c>
      <c r="W127" s="50" t="str">
        <f>IF(AND(B127&gt;='IN-NX'!$P$3,B127&lt;='IN-NX'!$Q$3,'IN-NX'!$D$7=D127,OR(LEFT(L127,2)="15",AND(LEFT(M127,2)&lt;&gt;"15",LEFT(M127,2)&lt;&gt;"33"))),"x","")</f>
        <v/>
      </c>
      <c r="X127" s="50" t="str">
        <f>IF(AND(OR(LEFT(TH!L127,2)="15",LEFT(TH!M127,2)="15"),'152-CT'!$J$8=TH!F127),"x","")</f>
        <v/>
      </c>
      <c r="Y127" s="50" t="str">
        <f>IF(AND(OR(LEFT(TH!L127,2)="15",LEFT(TH!M127,2)="15"),TK!$E$7=TH!F127),"x","")</f>
        <v/>
      </c>
      <c r="Z127" s="50" t="str">
        <f>IF(AND(B127&lt;=NKC!$N$8,B127&gt;=NKC!$M$8),"x","")</f>
        <v/>
      </c>
      <c r="AA127" s="845"/>
      <c r="AB127" s="581"/>
    </row>
    <row r="128" spans="1:30" s="201" customFormat="1" ht="15.75" customHeight="1">
      <c r="A128" s="846" t="str">
        <f>IF(B128&lt;&gt;"",IF(AND(B128&gt;=_TM1,B128&lt;=_TM2,OR(TH!L128="1111",TH!M128="1111")),TH!D128,""),"")</f>
        <v>C21</v>
      </c>
      <c r="B128" s="36">
        <f>IF(C128&lt;&gt;"",MONTH(C128),"")</f>
        <v>11</v>
      </c>
      <c r="C128" s="187">
        <f>E128</f>
        <v>41242</v>
      </c>
      <c r="D128" s="187" t="s">
        <v>416</v>
      </c>
      <c r="E128" s="180">
        <v>41242</v>
      </c>
      <c r="F128" s="185" t="s">
        <v>680</v>
      </c>
      <c r="G128" s="853" t="s">
        <v>681</v>
      </c>
      <c r="H128" s="189" t="s">
        <v>678</v>
      </c>
      <c r="I128" s="249"/>
      <c r="J128" s="249"/>
      <c r="K128" s="37">
        <v>300000</v>
      </c>
      <c r="L128" s="190" t="s">
        <v>9</v>
      </c>
      <c r="M128" s="190" t="s">
        <v>47</v>
      </c>
      <c r="N128" s="50" t="str">
        <f>IF(AND('331-CT'!$E$7=TH!H128,OR(L128="331",M128="331")),"331",IF(AND(OR(L128="131",M128="131"),H128='131-CT'!$E$7),"131",""))</f>
        <v/>
      </c>
      <c r="O128" s="50" t="str">
        <f>IF(AND($B128&gt;='111'!$N$11,$B128&lt;='111'!$O$11,OR($L128=$O$7,$M128=$O$7)),"x","")</f>
        <v>x</v>
      </c>
      <c r="P128" s="50" t="str">
        <f>IF(AND($L128=$O$7,$B128&lt;'111'!$N$11),"x","")</f>
        <v/>
      </c>
      <c r="Q128" s="50" t="str">
        <f>IF(AND($M128=$O$7,$B128&lt;'111'!$N$11),"x","")</f>
        <v/>
      </c>
      <c r="R128" s="50" t="str">
        <f>IF(ISERROR(FIND('112'!$M$9,G128,1)),"",IF((AND(FIND('112'!$M$9,G128,1)&gt;=1,$B128&gt;='112'!$N$8,$B128&lt;='112'!$O$8,OR($L128='112'!$I$6,$M128='112'!$I$6))),"x",""))</f>
        <v/>
      </c>
      <c r="S128" s="50" t="str">
        <f>IF(ISERROR(FIND('112'!$M$9,G128,1)),"",IF((AND(LEFT(G128,2)=LEFT('112'!$M$9,2),B128&lt;'112'!$N$8,$L128='112'!$I$6)),"x",""))</f>
        <v/>
      </c>
      <c r="T128" s="50" t="str">
        <f>IF(ISERROR(FIND('112'!$M$9,G128,1)),"",IF((AND(RIGHT(G128,2)=RIGHT('112'!$M$9,2),B128&lt;'112'!$N$8,$M128='112'!$I$6)),"x",""))</f>
        <v/>
      </c>
      <c r="U128" s="50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0" t="str">
        <f>IF(OR(TH!L128=TH!$V$7,M128=TH!$V$7),"x","")</f>
        <v/>
      </c>
      <c r="W128" s="50" t="str">
        <f>IF(AND(B128&gt;='IN-NX'!$P$3,B128&lt;='IN-NX'!$Q$3,'IN-NX'!$D$7=D128,OR(LEFT(L128,2)="15",AND(LEFT(M128,2)&lt;&gt;"15",LEFT(M128,2)&lt;&gt;"33"))),"x","")</f>
        <v/>
      </c>
      <c r="X128" s="50" t="str">
        <f>IF(AND(OR(LEFT(TH!L128,2)="15",LEFT(TH!M128,2)="15"),'152-CT'!$J$8=TH!F128),"x","")</f>
        <v/>
      </c>
      <c r="Y128" s="50" t="str">
        <f>IF(AND(OR(LEFT(TH!L128,2)="15",LEFT(TH!M128,2)="15"),TK!$E$7=TH!F128),"x","")</f>
        <v/>
      </c>
      <c r="Z128" s="50" t="str">
        <f>IF(AND(B128&lt;=NKC!$N$8,B128&gt;=NKC!$M$8),"x","")</f>
        <v/>
      </c>
      <c r="AA128" s="845"/>
      <c r="AB128" s="581"/>
    </row>
    <row r="129" spans="1:30" s="201" customFormat="1" ht="15.75" customHeight="1">
      <c r="A129" s="846" t="str">
        <f>IF(B129&lt;&gt;"",IF(AND(B129&gt;=_TM1,B129&lt;=_TM2,OR(TH!L129="1111",TH!M129="1111")),TH!D129,""),"")</f>
        <v>C22</v>
      </c>
      <c r="B129" s="36">
        <f>IF(C129&lt;&gt;"",MONTH(C129),"")</f>
        <v>12</v>
      </c>
      <c r="C129" s="187">
        <f>E129</f>
        <v>41244</v>
      </c>
      <c r="D129" s="187" t="s">
        <v>762</v>
      </c>
      <c r="E129" s="180">
        <v>41244</v>
      </c>
      <c r="F129" s="185" t="s">
        <v>683</v>
      </c>
      <c r="G129" s="853" t="s">
        <v>682</v>
      </c>
      <c r="H129" s="7" t="s">
        <v>662</v>
      </c>
      <c r="I129" s="249"/>
      <c r="J129" s="249"/>
      <c r="K129" s="37">
        <v>1713000</v>
      </c>
      <c r="L129" s="190" t="s">
        <v>167</v>
      </c>
      <c r="M129" s="190" t="s">
        <v>47</v>
      </c>
      <c r="N129" s="50" t="str">
        <f>IF(AND('331-CT'!$E$7=TH!H129,OR(L129="331",M129="331")),"331",IF(AND(OR(L129="131",M129="131"),H129='131-CT'!$E$7),"131",""))</f>
        <v/>
      </c>
      <c r="O129" s="50" t="str">
        <f>IF(AND($B129&gt;='111'!$N$11,$B129&lt;='111'!$O$11,OR($L129=$O$7,$M129=$O$7)),"x","")</f>
        <v>x</v>
      </c>
      <c r="P129" s="50" t="str">
        <f>IF(AND($L129=$O$7,$B129&lt;'111'!$N$11),"x","")</f>
        <v/>
      </c>
      <c r="Q129" s="50" t="str">
        <f>IF(AND($M129=$O$7,$B129&lt;'111'!$N$11),"x","")</f>
        <v/>
      </c>
      <c r="R129" s="50" t="str">
        <f>IF(ISERROR(FIND('112'!$M$9,G129,1)),"",IF((AND(FIND('112'!$M$9,G129,1)&gt;=1,$B129&gt;='112'!$N$8,$B129&lt;='112'!$O$8,OR($L129='112'!$I$6,$M129='112'!$I$6))),"x",""))</f>
        <v/>
      </c>
      <c r="S129" s="50" t="str">
        <f>IF(ISERROR(FIND('112'!$M$9,G129,1)),"",IF((AND(LEFT(G129,2)=LEFT('112'!$M$9,2),B129&lt;'112'!$N$8,$L129='112'!$I$6)),"x",""))</f>
        <v/>
      </c>
      <c r="T129" s="50" t="str">
        <f>IF(ISERROR(FIND('112'!$M$9,G129,1)),"",IF((AND(RIGHT(G129,2)=RIGHT('112'!$M$9,2),B129&lt;'112'!$N$8,$M129='112'!$I$6)),"x",""))</f>
        <v/>
      </c>
      <c r="U129" s="50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0" t="str">
        <f>IF(OR(TH!L129=TH!$V$7,M129=TH!$V$7),"x","")</f>
        <v/>
      </c>
      <c r="W129" s="50" t="str">
        <f>IF(AND(B129&gt;='IN-NX'!$P$3,B129&lt;='IN-NX'!$Q$3,'IN-NX'!$D$7=D129,OR(LEFT(L129,2)="15",AND(LEFT(M129,2)&lt;&gt;"15",LEFT(M129,2)&lt;&gt;"33"))),"x","")</f>
        <v/>
      </c>
      <c r="X129" s="50" t="str">
        <f>IF(AND(OR(LEFT(TH!L129,2)="15",LEFT(TH!M129,2)="15"),'152-CT'!$J$8=TH!F129),"x","")</f>
        <v/>
      </c>
      <c r="Y129" s="50" t="str">
        <f>IF(AND(OR(LEFT(TH!L129,2)="15",LEFT(TH!M129,2)="15"),TK!$E$7=TH!F129),"x","")</f>
        <v/>
      </c>
      <c r="Z129" s="50" t="str">
        <f>IF(AND(B129&lt;=NKC!$N$8,B129&gt;=NKC!$M$8),"x","")</f>
        <v/>
      </c>
      <c r="AA129" s="845"/>
      <c r="AB129" s="581"/>
    </row>
    <row r="130" spans="1:30" s="201" customFormat="1" ht="15.75" customHeight="1">
      <c r="A130" s="846" t="str">
        <f>IF(B130&lt;&gt;"",IF(AND(B130&gt;=_TM1,B130&lt;=_TM2,OR(TH!L130="1111",TH!M130="1111")),TH!D130,""),"")</f>
        <v/>
      </c>
      <c r="B130" s="36">
        <f>IF(C130&lt;&gt;"",MONTH(C130),"")</f>
        <v>12</v>
      </c>
      <c r="C130" s="187">
        <f>E130</f>
        <v>41246</v>
      </c>
      <c r="D130" s="180" t="s">
        <v>763</v>
      </c>
      <c r="E130" s="180">
        <v>41246</v>
      </c>
      <c r="F130" s="185" t="s">
        <v>708</v>
      </c>
      <c r="G130" s="854"/>
      <c r="H130" s="7" t="s">
        <v>632</v>
      </c>
      <c r="I130" s="249">
        <v>500</v>
      </c>
      <c r="J130" s="249">
        <v>12194</v>
      </c>
      <c r="K130" s="37">
        <f>ROUND(I130*J130,0)</f>
        <v>6097000</v>
      </c>
      <c r="L130" s="190" t="s">
        <v>617</v>
      </c>
      <c r="M130" s="190" t="s">
        <v>8</v>
      </c>
      <c r="N130" s="50" t="str">
        <f>IF(AND('331-CT'!$E$7=TH!H130,OR(L130="331",M130="331")),"331",IF(AND(OR(L130="131",M130="131"),H130='131-CT'!$E$7),"131",""))</f>
        <v>331</v>
      </c>
      <c r="O130" s="50" t="str">
        <f>IF(AND($B130&gt;='111'!$N$11,$B130&lt;='111'!$O$11,OR($L130=$O$7,$M130=$O$7)),"x","")</f>
        <v/>
      </c>
      <c r="P130" s="50" t="str">
        <f>IF(AND($L130=$O$7,$B130&lt;'111'!$N$11),"x","")</f>
        <v/>
      </c>
      <c r="Q130" s="50" t="str">
        <f>IF(AND($M130=$O$7,$B130&lt;'111'!$N$11),"x","")</f>
        <v/>
      </c>
      <c r="R130" s="50" t="str">
        <f>IF(ISERROR(FIND('112'!$M$9,G130,1)),"",IF((AND(FIND('112'!$M$9,G130,1)&gt;=1,$B130&gt;='112'!$N$8,$B130&lt;='112'!$O$8,OR($L130='112'!$I$6,$M130='112'!$I$6))),"x",""))</f>
        <v/>
      </c>
      <c r="S130" s="50" t="str">
        <f>IF(ISERROR(FIND('112'!$M$9,G130,1)),"",IF((AND(LEFT(G130,2)=LEFT('112'!$M$9,2),B130&lt;'112'!$N$8,$L130='112'!$I$6)),"x",""))</f>
        <v/>
      </c>
      <c r="T130" s="50" t="str">
        <f>IF(ISERROR(FIND('112'!$M$9,G130,1)),"",IF((AND(RIGHT(G130,2)=RIGHT('112'!$M$9,2),B130&lt;'112'!$N$8,$M130='112'!$I$6)),"x",""))</f>
        <v/>
      </c>
      <c r="U130" s="50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0" t="str">
        <f>IF(OR(TH!L130=TH!$V$7,M130=TH!$V$7),"x","")</f>
        <v/>
      </c>
      <c r="W130" s="50" t="str">
        <f>IF(AND(B130&gt;='IN-NX'!$P$3,B130&lt;='IN-NX'!$Q$3,'IN-NX'!$D$7=D130,OR(LEFT(L130,2)="15",AND(LEFT(M130,2)&lt;&gt;"15",LEFT(M130,2)&lt;&gt;"33"))),"x","")</f>
        <v/>
      </c>
      <c r="X130" s="50" t="str">
        <f>IF(AND(OR(LEFT(TH!L130,2)="15",LEFT(TH!M130,2)="15"),'152-CT'!$J$8=TH!F130),"x","")</f>
        <v/>
      </c>
      <c r="Y130" s="50" t="str">
        <f>IF(AND(OR(LEFT(TH!L130,2)="15",LEFT(TH!M130,2)="15"),TK!$E$7=TH!F130),"x","")</f>
        <v/>
      </c>
      <c r="Z130" s="50" t="str">
        <f>IF(AND(B130&lt;=NKC!$N$8,B130&gt;=NKC!$M$8),"x","")</f>
        <v/>
      </c>
      <c r="AA130" s="845"/>
      <c r="AB130" s="581"/>
      <c r="AC130" s="581"/>
      <c r="AD130" s="581"/>
    </row>
    <row r="131" spans="1:30" s="201" customFormat="1" ht="15.75" customHeight="1">
      <c r="A131" s="846" t="str">
        <f>IF(B131&lt;&gt;"",IF(AND(B131&gt;=_TM1,B131&lt;=_TM2,OR(TH!L131="1111",TH!M131="1111")),TH!D131,""),"")</f>
        <v/>
      </c>
      <c r="B131" s="36">
        <f>IF(C131&lt;&gt;"",MONTH(C131),"")</f>
        <v>12</v>
      </c>
      <c r="C131" s="187">
        <f>E131</f>
        <v>41246</v>
      </c>
      <c r="D131" s="180" t="s">
        <v>763</v>
      </c>
      <c r="E131" s="180">
        <v>41246</v>
      </c>
      <c r="F131" s="185" t="s">
        <v>709</v>
      </c>
      <c r="G131" s="854"/>
      <c r="H131" s="7" t="s">
        <v>632</v>
      </c>
      <c r="I131" s="249">
        <v>750</v>
      </c>
      <c r="J131" s="249">
        <v>9672</v>
      </c>
      <c r="K131" s="37">
        <f>ROUND(I131*J131,0)</f>
        <v>7254000</v>
      </c>
      <c r="L131" s="190" t="s">
        <v>617</v>
      </c>
      <c r="M131" s="190" t="s">
        <v>8</v>
      </c>
      <c r="N131" s="50" t="str">
        <f>IF(AND('331-CT'!$E$7=TH!H131,OR(L131="331",M131="331")),"331",IF(AND(OR(L131="131",M131="131"),H131='131-CT'!$E$7),"131",""))</f>
        <v>331</v>
      </c>
      <c r="O131" s="50" t="str">
        <f>IF(AND($B131&gt;='111'!$N$11,$B131&lt;='111'!$O$11,OR($L131=$O$7,$M131=$O$7)),"x","")</f>
        <v/>
      </c>
      <c r="P131" s="50" t="str">
        <f>IF(AND($L131=$O$7,$B131&lt;'111'!$N$11),"x","")</f>
        <v/>
      </c>
      <c r="Q131" s="50" t="str">
        <f>IF(AND($M131=$O$7,$B131&lt;'111'!$N$11),"x","")</f>
        <v/>
      </c>
      <c r="R131" s="50" t="str">
        <f>IF(ISERROR(FIND('112'!$M$9,G131,1)),"",IF((AND(FIND('112'!$M$9,G131,1)&gt;=1,$B131&gt;='112'!$N$8,$B131&lt;='112'!$O$8,OR($L131='112'!$I$6,$M131='112'!$I$6))),"x",""))</f>
        <v/>
      </c>
      <c r="S131" s="50" t="str">
        <f>IF(ISERROR(FIND('112'!$M$9,G131,1)),"",IF((AND(LEFT(G131,2)=LEFT('112'!$M$9,2),B131&lt;'112'!$N$8,$L131='112'!$I$6)),"x",""))</f>
        <v/>
      </c>
      <c r="T131" s="50" t="str">
        <f>IF(ISERROR(FIND('112'!$M$9,G131,1)),"",IF((AND(RIGHT(G131,2)=RIGHT('112'!$M$9,2),B131&lt;'112'!$N$8,$M131='112'!$I$6)),"x",""))</f>
        <v/>
      </c>
      <c r="U131" s="50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0" t="str">
        <f>IF(OR(TH!L131=TH!$V$7,M131=TH!$V$7),"x","")</f>
        <v/>
      </c>
      <c r="W131" s="50" t="str">
        <f>IF(AND(B131&gt;='IN-NX'!$P$3,B131&lt;='IN-NX'!$Q$3,'IN-NX'!$D$7=D131,OR(LEFT(L131,2)="15",AND(LEFT(M131,2)&lt;&gt;"15",LEFT(M131,2)&lt;&gt;"33"))),"x","")</f>
        <v/>
      </c>
      <c r="X131" s="50" t="str">
        <f>IF(AND(OR(LEFT(TH!L131,2)="15",LEFT(TH!M131,2)="15"),'152-CT'!$J$8=TH!F131),"x","")</f>
        <v>x</v>
      </c>
      <c r="Y131" s="50" t="str">
        <f>IF(AND(OR(LEFT(TH!L131,2)="15",LEFT(TH!M131,2)="15"),TK!$E$7=TH!F131),"x","")</f>
        <v/>
      </c>
      <c r="Z131" s="50" t="str">
        <f>IF(AND(B131&lt;=NKC!$N$8,B131&gt;=NKC!$M$8),"x","")</f>
        <v/>
      </c>
      <c r="AA131" s="845"/>
      <c r="AB131" s="581"/>
      <c r="AC131" s="581"/>
      <c r="AD131" s="581"/>
    </row>
    <row r="132" spans="1:30" s="201" customFormat="1" ht="15.75" customHeight="1">
      <c r="A132" s="846" t="str">
        <f>IF(B132&lt;&gt;"",IF(AND(B132&gt;=_TM1,B132&lt;=_TM2,OR(TH!L132="1111",TH!M132="1111")),TH!D132,""),"")</f>
        <v/>
      </c>
      <c r="B132" s="36">
        <f>IF(C132&lt;&gt;"",MONTH(C132),"")</f>
        <v>12</v>
      </c>
      <c r="C132" s="187">
        <f>E132</f>
        <v>41246</v>
      </c>
      <c r="D132" s="180" t="s">
        <v>763</v>
      </c>
      <c r="E132" s="180">
        <v>41246</v>
      </c>
      <c r="F132" s="185" t="s">
        <v>634</v>
      </c>
      <c r="G132" s="854"/>
      <c r="H132" s="7" t="s">
        <v>632</v>
      </c>
      <c r="I132" s="249"/>
      <c r="J132" s="249"/>
      <c r="K132" s="37">
        <v>1335100</v>
      </c>
      <c r="L132" s="190" t="s">
        <v>9</v>
      </c>
      <c r="M132" s="190" t="s">
        <v>8</v>
      </c>
      <c r="N132" s="50" t="str">
        <f>IF(AND('331-CT'!$E$7=TH!H132,OR(L132="331",M132="331")),"331",IF(AND(OR(L132="131",M132="131"),H132='131-CT'!$E$7),"131",""))</f>
        <v>331</v>
      </c>
      <c r="O132" s="50" t="str">
        <f>IF(AND($B132&gt;='111'!$N$11,$B132&lt;='111'!$O$11,OR($L132=$O$7,$M132=$O$7)),"x","")</f>
        <v/>
      </c>
      <c r="P132" s="50" t="str">
        <f>IF(AND($L132=$O$7,$B132&lt;'111'!$N$11),"x","")</f>
        <v/>
      </c>
      <c r="Q132" s="50" t="str">
        <f>IF(AND($M132=$O$7,$B132&lt;'111'!$N$11),"x","")</f>
        <v/>
      </c>
      <c r="R132" s="50" t="str">
        <f>IF(ISERROR(FIND('112'!$M$9,G132,1)),"",IF((AND(FIND('112'!$M$9,G132,1)&gt;=1,$B132&gt;='112'!$N$8,$B132&lt;='112'!$O$8,OR($L132='112'!$I$6,$M132='112'!$I$6))),"x",""))</f>
        <v/>
      </c>
      <c r="S132" s="50" t="str">
        <f>IF(ISERROR(FIND('112'!$M$9,G132,1)),"",IF((AND(LEFT(G132,2)=LEFT('112'!$M$9,2),B132&lt;'112'!$N$8,$L132='112'!$I$6)),"x",""))</f>
        <v/>
      </c>
      <c r="T132" s="50" t="str">
        <f>IF(ISERROR(FIND('112'!$M$9,G132,1)),"",IF((AND(RIGHT(G132,2)=RIGHT('112'!$M$9,2),B132&lt;'112'!$N$8,$M132='112'!$I$6)),"x",""))</f>
        <v/>
      </c>
      <c r="U132" s="50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0" t="str">
        <f>IF(OR(TH!L132=TH!$V$7,M132=TH!$V$7),"x","")</f>
        <v/>
      </c>
      <c r="W132" s="50" t="str">
        <f>IF(AND(B132&gt;='IN-NX'!$P$3,B132&lt;='IN-NX'!$Q$3,'IN-NX'!$D$7=D132,OR(LEFT(L132,2)="15",AND(LEFT(M132,2)&lt;&gt;"15",LEFT(M132,2)&lt;&gt;"33"))),"x","")</f>
        <v/>
      </c>
      <c r="X132" s="50" t="str">
        <f>IF(AND(OR(LEFT(TH!L132,2)="15",LEFT(TH!M132,2)="15"),'152-CT'!$J$8=TH!F132),"x","")</f>
        <v/>
      </c>
      <c r="Y132" s="50" t="str">
        <f>IF(AND(OR(LEFT(TH!L132,2)="15",LEFT(TH!M132,2)="15"),TK!$E$7=TH!F132),"x","")</f>
        <v/>
      </c>
      <c r="Z132" s="50" t="str">
        <f>IF(AND(B132&lt;=NKC!$N$8,B132&gt;=NKC!$M$8),"x","")</f>
        <v/>
      </c>
      <c r="AA132" s="845"/>
      <c r="AB132" s="581"/>
      <c r="AC132" s="581"/>
      <c r="AD132" s="581"/>
    </row>
    <row r="133" spans="1:30" s="201" customFormat="1" ht="15.75" customHeight="1">
      <c r="A133" s="846" t="str">
        <f>IF(B133&lt;&gt;"",IF(AND(B133&gt;=_TM1,B133&lt;=_TM2,OR(TH!L133="1111",TH!M133="1111")),TH!D133,""),"")</f>
        <v>C23</v>
      </c>
      <c r="B133" s="36">
        <f>IF(C133&lt;&gt;"",MONTH(C133),"")</f>
        <v>12</v>
      </c>
      <c r="C133" s="187">
        <f>E133</f>
        <v>41246</v>
      </c>
      <c r="D133" s="187" t="s">
        <v>764</v>
      </c>
      <c r="E133" s="180">
        <v>41246</v>
      </c>
      <c r="F133" s="185" t="s">
        <v>730</v>
      </c>
      <c r="G133" s="854"/>
      <c r="H133" s="7" t="s">
        <v>632</v>
      </c>
      <c r="I133" s="249"/>
      <c r="J133" s="249"/>
      <c r="K133" s="37">
        <v>14686100</v>
      </c>
      <c r="L133" s="190" t="s">
        <v>8</v>
      </c>
      <c r="M133" s="190" t="s">
        <v>47</v>
      </c>
      <c r="N133" s="50" t="str">
        <f>IF(AND('331-CT'!$E$7=TH!H133,OR(L133="331",M133="331")),"331",IF(AND(OR(L133="131",M133="131"),H133='131-CT'!$E$7),"131",""))</f>
        <v>331</v>
      </c>
      <c r="O133" s="50" t="str">
        <f>IF(AND($B133&gt;='111'!$N$11,$B133&lt;='111'!$O$11,OR($L133=$O$7,$M133=$O$7)),"x","")</f>
        <v>x</v>
      </c>
      <c r="P133" s="50" t="str">
        <f>IF(AND($L133=$O$7,$B133&lt;'111'!$N$11),"x","")</f>
        <v/>
      </c>
      <c r="Q133" s="50" t="str">
        <f>IF(AND($M133=$O$7,$B133&lt;'111'!$N$11),"x","")</f>
        <v/>
      </c>
      <c r="R133" s="50" t="str">
        <f>IF(ISERROR(FIND('112'!$M$9,G133,1)),"",IF((AND(FIND('112'!$M$9,G133,1)&gt;=1,$B133&gt;='112'!$N$8,$B133&lt;='112'!$O$8,OR($L133='112'!$I$6,$M133='112'!$I$6))),"x",""))</f>
        <v/>
      </c>
      <c r="S133" s="50" t="str">
        <f>IF(ISERROR(FIND('112'!$M$9,G133,1)),"",IF((AND(LEFT(G133,2)=LEFT('112'!$M$9,2),B133&lt;'112'!$N$8,$L133='112'!$I$6)),"x",""))</f>
        <v/>
      </c>
      <c r="T133" s="50" t="str">
        <f>IF(ISERROR(FIND('112'!$M$9,G133,1)),"",IF((AND(RIGHT(G133,2)=RIGHT('112'!$M$9,2),B133&lt;'112'!$N$8,$M133='112'!$I$6)),"x",""))</f>
        <v/>
      </c>
      <c r="U133" s="50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0" t="str">
        <f>IF(OR(TH!L133=TH!$V$7,M133=TH!$V$7),"x","")</f>
        <v/>
      </c>
      <c r="W133" s="50" t="str">
        <f>IF(AND(B133&gt;='IN-NX'!$P$3,B133&lt;='IN-NX'!$Q$3,'IN-NX'!$D$7=D133,OR(LEFT(L133,2)="15",AND(LEFT(M133,2)&lt;&gt;"15",LEFT(M133,2)&lt;&gt;"33"))),"x","")</f>
        <v/>
      </c>
      <c r="X133" s="50" t="str">
        <f>IF(AND(OR(LEFT(TH!L133,2)="15",LEFT(TH!M133,2)="15"),'152-CT'!$J$8=TH!F133),"x","")</f>
        <v/>
      </c>
      <c r="Y133" s="50" t="str">
        <f>IF(AND(OR(LEFT(TH!L133,2)="15",LEFT(TH!M133,2)="15"),TK!$E$7=TH!F133),"x","")</f>
        <v/>
      </c>
      <c r="Z133" s="50" t="str">
        <f>IF(AND(B133&lt;=NKC!$N$8,B133&gt;=NKC!$M$8),"x","")</f>
        <v/>
      </c>
      <c r="AA133" s="845"/>
      <c r="AB133" s="581"/>
    </row>
    <row r="134" spans="1:30" s="581" customFormat="1" ht="15.75" customHeight="1">
      <c r="A134" s="846" t="str">
        <f>IF(B134&lt;&gt;"",IF(AND(B134&gt;=_TM1,B134&lt;=_TM2,OR(TH!L134="1111",TH!M134="1111")),TH!D134,""),"")</f>
        <v>T04</v>
      </c>
      <c r="B134" s="36">
        <f>IF(C134&lt;&gt;"",MONTH(C134),"")</f>
        <v>12</v>
      </c>
      <c r="C134" s="187">
        <f>E134</f>
        <v>41250</v>
      </c>
      <c r="D134" s="180" t="s">
        <v>765</v>
      </c>
      <c r="E134" s="180">
        <v>41250</v>
      </c>
      <c r="F134" s="185" t="s">
        <v>721</v>
      </c>
      <c r="G134" s="853" t="s">
        <v>616</v>
      </c>
      <c r="H134" s="189" t="s">
        <v>727</v>
      </c>
      <c r="I134" s="249"/>
      <c r="J134" s="249"/>
      <c r="K134" s="589">
        <v>8400000</v>
      </c>
      <c r="L134" s="590" t="s">
        <v>47</v>
      </c>
      <c r="M134" s="590" t="s">
        <v>24</v>
      </c>
      <c r="N134" s="50" t="str">
        <f>IF(AND('331-CT'!$E$7=TH!H134,OR(L134="331",M134="331")),"331",IF(AND(OR(L134="131",M134="131"),H134='131-CT'!$E$7),"131",""))</f>
        <v/>
      </c>
      <c r="O134" s="50" t="str">
        <f>IF(AND($B134&gt;='111'!$N$11,$B134&lt;='111'!$O$11,OR($L134=$O$7,$M134=$O$7)),"x","")</f>
        <v>x</v>
      </c>
      <c r="P134" s="50" t="str">
        <f>IF(AND($L134=$O$7,$B134&lt;'111'!$N$11),"x","")</f>
        <v/>
      </c>
      <c r="Q134" s="50" t="str">
        <f>IF(AND($M134=$O$7,$B134&lt;'111'!$N$11),"x","")</f>
        <v/>
      </c>
      <c r="R134" s="50" t="str">
        <f>IF(ISERROR(FIND('112'!$M$9,G134,1)),"",IF((AND(FIND('112'!$M$9,G134,1)&gt;=1,$B134&gt;='112'!$N$8,$B134&lt;='112'!$O$8,OR($L134='112'!$I$6,$M134='112'!$I$6))),"x",""))</f>
        <v>x</v>
      </c>
      <c r="S134" s="50" t="str">
        <f>IF(ISERROR(FIND('112'!$M$9,G134,1)),"",IF((AND(LEFT(G134,2)=LEFT('112'!$M$9,2),B134&lt;'112'!$N$8,$L134='112'!$I$6)),"x",""))</f>
        <v/>
      </c>
      <c r="T134" s="50" t="str">
        <f>IF(ISERROR(FIND('112'!$M$9,G134,1)),"",IF((AND(RIGHT(G134,2)=RIGHT('112'!$M$9,2),B134&lt;'112'!$N$8,$M134='112'!$I$6)),"x",""))</f>
        <v/>
      </c>
      <c r="U134" s="50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0" t="str">
        <f>IF(OR(TH!L134=TH!$V$7,M134=TH!$V$7),"x","")</f>
        <v/>
      </c>
      <c r="W134" s="50" t="str">
        <f>IF(AND(B134&gt;='IN-NX'!$P$3,B134&lt;='IN-NX'!$Q$3,'IN-NX'!$D$7=D134,OR(LEFT(L134,2)="15",AND(LEFT(M134,2)&lt;&gt;"15",LEFT(M134,2)&lt;&gt;"33"))),"x","")</f>
        <v/>
      </c>
      <c r="X134" s="50" t="str">
        <f>IF(AND(OR(LEFT(TH!L134,2)="15",LEFT(TH!M134,2)="15"),'152-CT'!$J$8=TH!F134),"x","")</f>
        <v/>
      </c>
      <c r="Y134" s="50" t="str">
        <f>IF(AND(OR(LEFT(TH!L134,2)="15",LEFT(TH!M134,2)="15"),TK!$E$7=TH!F134),"x","")</f>
        <v/>
      </c>
      <c r="Z134" s="50" t="str">
        <f>IF(AND(B134&lt;=NKC!$N$8,B134&gt;=NKC!$M$8),"x","")</f>
        <v/>
      </c>
      <c r="AA134" s="845"/>
    </row>
    <row r="135" spans="1:30" s="581" customFormat="1" ht="15.75" customHeight="1">
      <c r="A135" s="846" t="str">
        <f>IF(B135&lt;&gt;"",IF(AND(B135&gt;=_TM1,B135&lt;=_TM2,OR(TH!L135="1111",TH!M135="1111")),TH!D135,""),"")</f>
        <v/>
      </c>
      <c r="B135" s="36">
        <f>IF(C135&lt;&gt;"",MONTH(C135),"")</f>
        <v>12</v>
      </c>
      <c r="C135" s="187">
        <f>E135</f>
        <v>41251</v>
      </c>
      <c r="D135" s="180" t="s">
        <v>766</v>
      </c>
      <c r="E135" s="180">
        <v>41251</v>
      </c>
      <c r="F135" s="185" t="s">
        <v>664</v>
      </c>
      <c r="G135" s="854" t="s">
        <v>710</v>
      </c>
      <c r="H135" s="7" t="s">
        <v>632</v>
      </c>
      <c r="I135" s="249">
        <v>500</v>
      </c>
      <c r="J135" s="249">
        <v>10286</v>
      </c>
      <c r="K135" s="37">
        <f>ROUND(I135*J135,0)</f>
        <v>5143000</v>
      </c>
      <c r="L135" s="190" t="s">
        <v>617</v>
      </c>
      <c r="M135" s="190" t="s">
        <v>8</v>
      </c>
      <c r="N135" s="50" t="str">
        <f>IF(AND('331-CT'!$E$7=TH!H135,OR(L135="331",M135="331")),"331",IF(AND(OR(L135="131",M135="131"),H135='131-CT'!$E$7),"131",""))</f>
        <v>331</v>
      </c>
      <c r="O135" s="50" t="str">
        <f>IF(AND($B135&gt;='111'!$N$11,$B135&lt;='111'!$O$11,OR($L135=$O$7,$M135=$O$7)),"x","")</f>
        <v/>
      </c>
      <c r="P135" s="50" t="str">
        <f>IF(AND($L135=$O$7,$B135&lt;'111'!$N$11),"x","")</f>
        <v/>
      </c>
      <c r="Q135" s="50" t="str">
        <f>IF(AND($M135=$O$7,$B135&lt;'111'!$N$11),"x","")</f>
        <v/>
      </c>
      <c r="R135" s="50" t="str">
        <f>IF(ISERROR(FIND('112'!$M$9,G135,1)),"",IF((AND(FIND('112'!$M$9,G135,1)&gt;=1,$B135&gt;='112'!$N$8,$B135&lt;='112'!$O$8,OR($L135='112'!$I$6,$M135='112'!$I$6))),"x",""))</f>
        <v/>
      </c>
      <c r="S135" s="50" t="str">
        <f>IF(ISERROR(FIND('112'!$M$9,G135,1)),"",IF((AND(LEFT(G135,2)=LEFT('112'!$M$9,2),B135&lt;'112'!$N$8,$L135='112'!$I$6)),"x",""))</f>
        <v/>
      </c>
      <c r="T135" s="50" t="str">
        <f>IF(ISERROR(FIND('112'!$M$9,G135,1)),"",IF((AND(RIGHT(G135,2)=RIGHT('112'!$M$9,2),B135&lt;'112'!$N$8,$M135='112'!$I$6)),"x",""))</f>
        <v/>
      </c>
      <c r="U135" s="50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0" t="str">
        <f>IF(OR(TH!L135=TH!$V$7,M135=TH!$V$7),"x","")</f>
        <v/>
      </c>
      <c r="W135" s="50" t="str">
        <f>IF(AND(B135&gt;='IN-NX'!$P$3,B135&lt;='IN-NX'!$Q$3,'IN-NX'!$D$7=D135,OR(LEFT(L135,2)="15",AND(LEFT(M135,2)&lt;&gt;"15",LEFT(M135,2)&lt;&gt;"33"))),"x","")</f>
        <v/>
      </c>
      <c r="X135" s="50" t="str">
        <f>IF(AND(OR(LEFT(TH!L135,2)="15",LEFT(TH!M135,2)="15"),'152-CT'!$J$8=TH!F135),"x","")</f>
        <v/>
      </c>
      <c r="Y135" s="50" t="str">
        <f>IF(AND(OR(LEFT(TH!L135,2)="15",LEFT(TH!M135,2)="15"),TK!$E$7=TH!F135),"x","")</f>
        <v/>
      </c>
      <c r="Z135" s="50" t="str">
        <f>IF(AND(B135&lt;=NKC!$N$8,B135&gt;=NKC!$M$8),"x","")</f>
        <v/>
      </c>
      <c r="AA135" s="845"/>
    </row>
    <row r="136" spans="1:30" s="581" customFormat="1" ht="15.75" customHeight="1">
      <c r="A136" s="846" t="str">
        <f>IF(B136&lt;&gt;"",IF(AND(B136&gt;=_TM1,B136&lt;=_TM2,OR(TH!L136="1111",TH!M136="1111")),TH!D136,""),"")</f>
        <v/>
      </c>
      <c r="B136" s="36">
        <f>IF(C136&lt;&gt;"",MONTH(C136),"")</f>
        <v>12</v>
      </c>
      <c r="C136" s="187">
        <f>E136</f>
        <v>41251</v>
      </c>
      <c r="D136" s="180" t="s">
        <v>766</v>
      </c>
      <c r="E136" s="180">
        <v>41251</v>
      </c>
      <c r="F136" s="185" t="s">
        <v>641</v>
      </c>
      <c r="G136" s="854" t="s">
        <v>710</v>
      </c>
      <c r="H136" s="7" t="s">
        <v>632</v>
      </c>
      <c r="I136" s="249">
        <v>500</v>
      </c>
      <c r="J136" s="249">
        <v>10298</v>
      </c>
      <c r="K136" s="37">
        <f>ROUND(I136*J136,0)</f>
        <v>5149000</v>
      </c>
      <c r="L136" s="190" t="s">
        <v>617</v>
      </c>
      <c r="M136" s="190" t="s">
        <v>8</v>
      </c>
      <c r="N136" s="50" t="str">
        <f>IF(AND('331-CT'!$E$7=TH!H136,OR(L136="331",M136="331")),"331",IF(AND(OR(L136="131",M136="131"),H136='131-CT'!$E$7),"131",""))</f>
        <v>331</v>
      </c>
      <c r="O136" s="50" t="str">
        <f>IF(AND($B136&gt;='111'!$N$11,$B136&lt;='111'!$O$11,OR($L136=$O$7,$M136=$O$7)),"x","")</f>
        <v/>
      </c>
      <c r="P136" s="50" t="str">
        <f>IF(AND($L136=$O$7,$B136&lt;'111'!$N$11),"x","")</f>
        <v/>
      </c>
      <c r="Q136" s="50" t="str">
        <f>IF(AND($M136=$O$7,$B136&lt;'111'!$N$11),"x","")</f>
        <v/>
      </c>
      <c r="R136" s="50" t="str">
        <f>IF(ISERROR(FIND('112'!$M$9,G136,1)),"",IF((AND(FIND('112'!$M$9,G136,1)&gt;=1,$B136&gt;='112'!$N$8,$B136&lt;='112'!$O$8,OR($L136='112'!$I$6,$M136='112'!$I$6))),"x",""))</f>
        <v/>
      </c>
      <c r="S136" s="50" t="str">
        <f>IF(ISERROR(FIND('112'!$M$9,G136,1)),"",IF((AND(LEFT(G136,2)=LEFT('112'!$M$9,2),B136&lt;'112'!$N$8,$L136='112'!$I$6)),"x",""))</f>
        <v/>
      </c>
      <c r="T136" s="50" t="str">
        <f>IF(ISERROR(FIND('112'!$M$9,G136,1)),"",IF((AND(RIGHT(G136,2)=RIGHT('112'!$M$9,2),B136&lt;'112'!$N$8,$M136='112'!$I$6)),"x",""))</f>
        <v/>
      </c>
      <c r="U136" s="50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0" t="str">
        <f>IF(OR(TH!L136=TH!$V$7,M136=TH!$V$7),"x","")</f>
        <v/>
      </c>
      <c r="W136" s="50" t="str">
        <f>IF(AND(B136&gt;='IN-NX'!$P$3,B136&lt;='IN-NX'!$Q$3,'IN-NX'!$D$7=D136,OR(LEFT(L136,2)="15",AND(LEFT(M136,2)&lt;&gt;"15",LEFT(M136,2)&lt;&gt;"33"))),"x","")</f>
        <v/>
      </c>
      <c r="X136" s="50" t="str">
        <f>IF(AND(OR(LEFT(TH!L136,2)="15",LEFT(TH!M136,2)="15"),'152-CT'!$J$8=TH!F136),"x","")</f>
        <v/>
      </c>
      <c r="Y136" s="50" t="str">
        <f>IF(AND(OR(LEFT(TH!L136,2)="15",LEFT(TH!M136,2)="15"),TK!$E$7=TH!F136),"x","")</f>
        <v/>
      </c>
      <c r="Z136" s="50" t="str">
        <f>IF(AND(B136&lt;=NKC!$N$8,B136&gt;=NKC!$M$8),"x","")</f>
        <v/>
      </c>
      <c r="AA136" s="845"/>
    </row>
    <row r="137" spans="1:30" s="201" customFormat="1" ht="15.75" customHeight="1">
      <c r="A137" s="846" t="str">
        <f>IF(B137&lt;&gt;"",IF(AND(B137&gt;=_TM1,B137&lt;=_TM2,OR(TH!L137="1111",TH!M137="1111")),TH!D137,""),"")</f>
        <v/>
      </c>
      <c r="B137" s="36">
        <f>IF(C137&lt;&gt;"",MONTH(C137),"")</f>
        <v>12</v>
      </c>
      <c r="C137" s="187">
        <f>E137</f>
        <v>41251</v>
      </c>
      <c r="D137" s="180" t="s">
        <v>766</v>
      </c>
      <c r="E137" s="180">
        <v>41251</v>
      </c>
      <c r="F137" s="185" t="s">
        <v>634</v>
      </c>
      <c r="G137" s="854" t="s">
        <v>710</v>
      </c>
      <c r="H137" s="7" t="s">
        <v>632</v>
      </c>
      <c r="I137" s="249"/>
      <c r="J137" s="249"/>
      <c r="K137" s="37">
        <v>1029200</v>
      </c>
      <c r="L137" s="190" t="s">
        <v>9</v>
      </c>
      <c r="M137" s="190" t="s">
        <v>8</v>
      </c>
      <c r="N137" s="50" t="str">
        <f>IF(AND('331-CT'!$E$7=TH!H137,OR(L137="331",M137="331")),"331",IF(AND(OR(L137="131",M137="131"),H137='131-CT'!$E$7),"131",""))</f>
        <v>331</v>
      </c>
      <c r="O137" s="50" t="str">
        <f>IF(AND($B137&gt;='111'!$N$11,$B137&lt;='111'!$O$11,OR($L137=$O$7,$M137=$O$7)),"x","")</f>
        <v/>
      </c>
      <c r="P137" s="50" t="str">
        <f>IF(AND($L137=$O$7,$B137&lt;'111'!$N$11),"x","")</f>
        <v/>
      </c>
      <c r="Q137" s="50" t="str">
        <f>IF(AND($M137=$O$7,$B137&lt;'111'!$N$11),"x","")</f>
        <v/>
      </c>
      <c r="R137" s="50" t="str">
        <f>IF(ISERROR(FIND('112'!$M$9,G137,1)),"",IF((AND(FIND('112'!$M$9,G137,1)&gt;=1,$B137&gt;='112'!$N$8,$B137&lt;='112'!$O$8,OR($L137='112'!$I$6,$M137='112'!$I$6))),"x",""))</f>
        <v/>
      </c>
      <c r="S137" s="50" t="str">
        <f>IF(ISERROR(FIND('112'!$M$9,G137,1)),"",IF((AND(LEFT(G137,2)=LEFT('112'!$M$9,2),B137&lt;'112'!$N$8,$L137='112'!$I$6)),"x",""))</f>
        <v/>
      </c>
      <c r="T137" s="50" t="str">
        <f>IF(ISERROR(FIND('112'!$M$9,G137,1)),"",IF((AND(RIGHT(G137,2)=RIGHT('112'!$M$9,2),B137&lt;'112'!$N$8,$M137='112'!$I$6)),"x",""))</f>
        <v/>
      </c>
      <c r="U137" s="50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0" t="str">
        <f>IF(OR(TH!L137=TH!$V$7,M137=TH!$V$7),"x","")</f>
        <v/>
      </c>
      <c r="W137" s="50" t="str">
        <f>IF(AND(B137&gt;='IN-NX'!$P$3,B137&lt;='IN-NX'!$Q$3,'IN-NX'!$D$7=D137,OR(LEFT(L137,2)="15",AND(LEFT(M137,2)&lt;&gt;"15",LEFT(M137,2)&lt;&gt;"33"))),"x","")</f>
        <v/>
      </c>
      <c r="X137" s="50" t="str">
        <f>IF(AND(OR(LEFT(TH!L137,2)="15",LEFT(TH!M137,2)="15"),'152-CT'!$J$8=TH!F137),"x","")</f>
        <v/>
      </c>
      <c r="Y137" s="50" t="str">
        <f>IF(AND(OR(LEFT(TH!L137,2)="15",LEFT(TH!M137,2)="15"),TK!$E$7=TH!F137),"x","")</f>
        <v/>
      </c>
      <c r="Z137" s="50" t="str">
        <f>IF(AND(B137&lt;=NKC!$N$8,B137&gt;=NKC!$M$8),"x","")</f>
        <v/>
      </c>
      <c r="AA137" s="845"/>
      <c r="AD137" s="581"/>
    </row>
    <row r="138" spans="1:30" s="201" customFormat="1" ht="15.75" customHeight="1">
      <c r="A138" s="846" t="str">
        <f>IF(B138&lt;&gt;"",IF(AND(B138&gt;=_TM1,B138&lt;=_TM2,OR(TH!L138="1111",TH!M138="1111")),TH!D138,""),"")</f>
        <v>C24</v>
      </c>
      <c r="B138" s="36">
        <f>IF(C138&lt;&gt;"",MONTH(C138),"")</f>
        <v>12</v>
      </c>
      <c r="C138" s="187">
        <f>E138</f>
        <v>41251</v>
      </c>
      <c r="D138" s="187" t="s">
        <v>417</v>
      </c>
      <c r="E138" s="180">
        <v>41251</v>
      </c>
      <c r="F138" s="185" t="s">
        <v>730</v>
      </c>
      <c r="G138" s="854" t="s">
        <v>710</v>
      </c>
      <c r="H138" s="7" t="s">
        <v>632</v>
      </c>
      <c r="I138" s="249"/>
      <c r="J138" s="249"/>
      <c r="K138" s="37">
        <v>11321200</v>
      </c>
      <c r="L138" s="190" t="s">
        <v>8</v>
      </c>
      <c r="M138" s="190" t="s">
        <v>47</v>
      </c>
      <c r="N138" s="50" t="str">
        <f>IF(AND('331-CT'!$E$7=TH!H138,OR(L138="331",M138="331")),"331",IF(AND(OR(L138="131",M138="131"),H138='131-CT'!$E$7),"131",""))</f>
        <v>331</v>
      </c>
      <c r="O138" s="50" t="str">
        <f>IF(AND($B138&gt;='111'!$N$11,$B138&lt;='111'!$O$11,OR($L138=$O$7,$M138=$O$7)),"x","")</f>
        <v>x</v>
      </c>
      <c r="P138" s="50" t="str">
        <f>IF(AND($L138=$O$7,$B138&lt;'111'!$N$11),"x","")</f>
        <v/>
      </c>
      <c r="Q138" s="50" t="str">
        <f>IF(AND($M138=$O$7,$B138&lt;'111'!$N$11),"x","")</f>
        <v/>
      </c>
      <c r="R138" s="50" t="str">
        <f>IF(ISERROR(FIND('112'!$M$9,G138,1)),"",IF((AND(FIND('112'!$M$9,G138,1)&gt;=1,$B138&gt;='112'!$N$8,$B138&lt;='112'!$O$8,OR($L138='112'!$I$6,$M138='112'!$I$6))),"x",""))</f>
        <v/>
      </c>
      <c r="S138" s="50" t="str">
        <f>IF(ISERROR(FIND('112'!$M$9,G138,1)),"",IF((AND(LEFT(G138,2)=LEFT('112'!$M$9,2),B138&lt;'112'!$N$8,$L138='112'!$I$6)),"x",""))</f>
        <v/>
      </c>
      <c r="T138" s="50" t="str">
        <f>IF(ISERROR(FIND('112'!$M$9,G138,1)),"",IF((AND(RIGHT(G138,2)=RIGHT('112'!$M$9,2),B138&lt;'112'!$N$8,$M138='112'!$I$6)),"x",""))</f>
        <v/>
      </c>
      <c r="U138" s="50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0" t="str">
        <f>IF(OR(TH!L138=TH!$V$7,M138=TH!$V$7),"x","")</f>
        <v/>
      </c>
      <c r="W138" s="50" t="str">
        <f>IF(AND(B138&gt;='IN-NX'!$P$3,B138&lt;='IN-NX'!$Q$3,'IN-NX'!$D$7=D138,OR(LEFT(L138,2)="15",AND(LEFT(M138,2)&lt;&gt;"15",LEFT(M138,2)&lt;&gt;"33"))),"x","")</f>
        <v/>
      </c>
      <c r="X138" s="50" t="str">
        <f>IF(AND(OR(LEFT(TH!L138,2)="15",LEFT(TH!M138,2)="15"),'152-CT'!$J$8=TH!F138),"x","")</f>
        <v/>
      </c>
      <c r="Y138" s="50" t="str">
        <f>IF(AND(OR(LEFT(TH!L138,2)="15",LEFT(TH!M138,2)="15"),TK!$E$7=TH!F138),"x","")</f>
        <v/>
      </c>
      <c r="Z138" s="50" t="str">
        <f>IF(AND(B138&lt;=NKC!$N$8,B138&gt;=NKC!$M$8),"x","")</f>
        <v/>
      </c>
      <c r="AA138" s="845"/>
      <c r="AB138" s="581"/>
    </row>
    <row r="139" spans="1:30" s="581" customFormat="1" ht="15.75" customHeight="1">
      <c r="A139" s="846" t="str">
        <f>IF(B139&lt;&gt;"",IF(AND(B139&gt;=_TM1,B139&lt;=_TM2,OR(TH!L139="1111",TH!M139="1111")),TH!D139,""),"")</f>
        <v>C25</v>
      </c>
      <c r="B139" s="36">
        <f>IF(C139&lt;&gt;"",MONTH(C139),"")</f>
        <v>12</v>
      </c>
      <c r="C139" s="187">
        <f>E139</f>
        <v>41255</v>
      </c>
      <c r="D139" s="187" t="s">
        <v>767</v>
      </c>
      <c r="E139" s="180">
        <v>41255</v>
      </c>
      <c r="F139" s="185" t="s">
        <v>714</v>
      </c>
      <c r="G139" s="854" t="s">
        <v>712</v>
      </c>
      <c r="H139" s="189" t="s">
        <v>713</v>
      </c>
      <c r="I139" s="249"/>
      <c r="J139" s="249"/>
      <c r="K139" s="589">
        <v>262000</v>
      </c>
      <c r="L139" s="590" t="s">
        <v>83</v>
      </c>
      <c r="M139" s="590" t="s">
        <v>47</v>
      </c>
      <c r="N139" s="50" t="str">
        <f>IF(AND('331-CT'!$E$7=TH!H139,OR(L139="331",M139="331")),"331",IF(AND(OR(L139="131",M139="131"),H139='131-CT'!$E$7),"131",""))</f>
        <v/>
      </c>
      <c r="O139" s="50" t="str">
        <f>IF(AND($B139&gt;='111'!$N$11,$B139&lt;='111'!$O$11,OR($L139=$O$7,$M139=$O$7)),"x","")</f>
        <v>x</v>
      </c>
      <c r="P139" s="50" t="str">
        <f>IF(AND($L139=$O$7,$B139&lt;'111'!$N$11),"x","")</f>
        <v/>
      </c>
      <c r="Q139" s="50" t="str">
        <f>IF(AND($M139=$O$7,$B139&lt;'111'!$N$11),"x","")</f>
        <v/>
      </c>
      <c r="R139" s="50" t="str">
        <f>IF(ISERROR(FIND('112'!$M$9,G139,1)),"",IF((AND(FIND('112'!$M$9,G139,1)&gt;=1,$B139&gt;='112'!$N$8,$B139&lt;='112'!$O$8,OR($L139='112'!$I$6,$M139='112'!$I$6))),"x",""))</f>
        <v/>
      </c>
      <c r="S139" s="50" t="str">
        <f>IF(ISERROR(FIND('112'!$M$9,G139,1)),"",IF((AND(LEFT(G139,2)=LEFT('112'!$M$9,2),B139&lt;'112'!$N$8,$L139='112'!$I$6)),"x",""))</f>
        <v/>
      </c>
      <c r="T139" s="50" t="str">
        <f>IF(ISERROR(FIND('112'!$M$9,G139,1)),"",IF((AND(RIGHT(G139,2)=RIGHT('112'!$M$9,2),B139&lt;'112'!$N$8,$M139='112'!$I$6)),"x",""))</f>
        <v/>
      </c>
      <c r="U139" s="50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0" t="str">
        <f>IF(OR(TH!L139=TH!$V$7,M139=TH!$V$7),"x","")</f>
        <v>x</v>
      </c>
      <c r="W139" s="50" t="str">
        <f>IF(AND(B139&gt;='IN-NX'!$P$3,B139&lt;='IN-NX'!$Q$3,'IN-NX'!$D$7=D139,OR(LEFT(L139,2)="15",AND(LEFT(M139,2)&lt;&gt;"15",LEFT(M139,2)&lt;&gt;"33"))),"x","")</f>
        <v/>
      </c>
      <c r="X139" s="50" t="str">
        <f>IF(AND(OR(LEFT(TH!L139,2)="15",LEFT(TH!M139,2)="15"),'152-CT'!$J$8=TH!F139),"x","")</f>
        <v/>
      </c>
      <c r="Y139" s="50" t="str">
        <f>IF(AND(OR(LEFT(TH!L139,2)="15",LEFT(TH!M139,2)="15"),TK!$E$7=TH!F139),"x","")</f>
        <v/>
      </c>
      <c r="Z139" s="50" t="str">
        <f>IF(AND(B139&lt;=NKC!$N$8,B139&gt;=NKC!$M$8),"x","")</f>
        <v/>
      </c>
      <c r="AA139" s="845"/>
      <c r="AC139" s="201"/>
    </row>
    <row r="140" spans="1:30" s="581" customFormat="1" ht="15.75" customHeight="1">
      <c r="A140" s="846" t="str">
        <f>IF(B140&lt;&gt;"",IF(AND(B140&gt;=_TM1,B140&lt;=_TM2,OR(TH!L140="1111",TH!M140="1111")),TH!D140,""),"")</f>
        <v>C26</v>
      </c>
      <c r="B140" s="36">
        <f>IF(C140&lt;&gt;"",MONTH(C140),"")</f>
        <v>12</v>
      </c>
      <c r="C140" s="187">
        <f>E140</f>
        <v>41258</v>
      </c>
      <c r="D140" s="187" t="s">
        <v>768</v>
      </c>
      <c r="E140" s="180">
        <v>41258</v>
      </c>
      <c r="F140" s="188" t="s">
        <v>623</v>
      </c>
      <c r="G140" s="853" t="s">
        <v>699</v>
      </c>
      <c r="H140" s="200" t="s">
        <v>625</v>
      </c>
      <c r="I140" s="249"/>
      <c r="J140" s="249"/>
      <c r="K140" s="37">
        <f>261457+385262</f>
        <v>646719</v>
      </c>
      <c r="L140" s="190" t="s">
        <v>83</v>
      </c>
      <c r="M140" s="190" t="s">
        <v>47</v>
      </c>
      <c r="N140" s="50" t="str">
        <f>IF(AND('331-CT'!$E$7=TH!H140,OR(L140="331",M140="331")),"331",IF(AND(OR(L140="131",M140="131"),H140='131-CT'!$E$7),"131",""))</f>
        <v/>
      </c>
      <c r="O140" s="50" t="str">
        <f>IF(AND($B140&gt;='111'!$N$11,$B140&lt;='111'!$O$11,OR($L140=$O$7,$M140=$O$7)),"x","")</f>
        <v>x</v>
      </c>
      <c r="P140" s="50" t="str">
        <f>IF(AND($L140=$O$7,$B140&lt;'111'!$N$11),"x","")</f>
        <v/>
      </c>
      <c r="Q140" s="50" t="str">
        <f>IF(AND($M140=$O$7,$B140&lt;'111'!$N$11),"x","")</f>
        <v/>
      </c>
      <c r="R140" s="50" t="str">
        <f>IF(ISERROR(FIND('112'!$M$9,G140,1)),"",IF((AND(FIND('112'!$M$9,G140,1)&gt;=1,$B140&gt;='112'!$N$8,$B140&lt;='112'!$O$8,OR($L140='112'!$I$6,$M140='112'!$I$6))),"x",""))</f>
        <v/>
      </c>
      <c r="S140" s="50" t="str">
        <f>IF(ISERROR(FIND('112'!$M$9,G140,1)),"",IF((AND(LEFT(G140,2)=LEFT('112'!$M$9,2),B140&lt;'112'!$N$8,$L140='112'!$I$6)),"x",""))</f>
        <v/>
      </c>
      <c r="T140" s="50" t="str">
        <f>IF(ISERROR(FIND('112'!$M$9,G140,1)),"",IF((AND(RIGHT(G140,2)=RIGHT('112'!$M$9,2),B140&lt;'112'!$N$8,$M140='112'!$I$6)),"x",""))</f>
        <v/>
      </c>
      <c r="U140" s="50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0" t="str">
        <f>IF(OR(TH!L140=TH!$V$7,M140=TH!$V$7),"x","")</f>
        <v>x</v>
      </c>
      <c r="W140" s="50" t="str">
        <f>IF(AND(B140&gt;='IN-NX'!$P$3,B140&lt;='IN-NX'!$Q$3,'IN-NX'!$D$7=D140,OR(LEFT(L140,2)="15",AND(LEFT(M140,2)&lt;&gt;"15",LEFT(M140,2)&lt;&gt;"33"))),"x","")</f>
        <v/>
      </c>
      <c r="X140" s="50" t="str">
        <f>IF(AND(OR(LEFT(TH!L140,2)="15",LEFT(TH!M140,2)="15"),'152-CT'!$J$8=TH!F140),"x","")</f>
        <v/>
      </c>
      <c r="Y140" s="50" t="str">
        <f>IF(AND(OR(LEFT(TH!L140,2)="15",LEFT(TH!M140,2)="15"),TK!$E$7=TH!F140),"x","")</f>
        <v/>
      </c>
      <c r="Z140" s="50" t="str">
        <f>IF(AND(B140&lt;=NKC!$N$8,B140&gt;=NKC!$M$8),"x","")</f>
        <v/>
      </c>
      <c r="AA140" s="845"/>
    </row>
    <row r="141" spans="1:30" s="581" customFormat="1" ht="15.75" customHeight="1">
      <c r="A141" s="846" t="str">
        <f>IF(B141&lt;&gt;"",IF(AND(B141&gt;=_TM1,B141&lt;=_TM2,OR(TH!L141="1111",TH!M141="1111")),TH!D141,""),"")</f>
        <v>C26</v>
      </c>
      <c r="B141" s="36">
        <f>IF(C141&lt;&gt;"",MONTH(C141),"")</f>
        <v>12</v>
      </c>
      <c r="C141" s="187">
        <f>E141</f>
        <v>41258</v>
      </c>
      <c r="D141" s="187" t="s">
        <v>768</v>
      </c>
      <c r="E141" s="180">
        <v>41258</v>
      </c>
      <c r="F141" s="188" t="s">
        <v>624</v>
      </c>
      <c r="G141" s="853" t="s">
        <v>699</v>
      </c>
      <c r="H141" s="200" t="s">
        <v>625</v>
      </c>
      <c r="I141" s="249"/>
      <c r="J141" s="249"/>
      <c r="K141" s="37">
        <f>26146+38526</f>
        <v>64672</v>
      </c>
      <c r="L141" s="190" t="s">
        <v>9</v>
      </c>
      <c r="M141" s="190" t="s">
        <v>47</v>
      </c>
      <c r="N141" s="50" t="str">
        <f>IF(AND('331-CT'!$E$7=TH!H141,OR(L141="331",M141="331")),"331",IF(AND(OR(L141="131",M141="131"),H141='131-CT'!$E$7),"131",""))</f>
        <v/>
      </c>
      <c r="O141" s="50" t="str">
        <f>IF(AND($B141&gt;='111'!$N$11,$B141&lt;='111'!$O$11,OR($L141=$O$7,$M141=$O$7)),"x","")</f>
        <v>x</v>
      </c>
      <c r="P141" s="50" t="str">
        <f>IF(AND($L141=$O$7,$B141&lt;'111'!$N$11),"x","")</f>
        <v/>
      </c>
      <c r="Q141" s="50" t="str">
        <f>IF(AND($M141=$O$7,$B141&lt;'111'!$N$11),"x","")</f>
        <v/>
      </c>
      <c r="R141" s="50" t="str">
        <f>IF(ISERROR(FIND('112'!$M$9,G141,1)),"",IF((AND(FIND('112'!$M$9,G141,1)&gt;=1,$B141&gt;='112'!$N$8,$B141&lt;='112'!$O$8,OR($L141='112'!$I$6,$M141='112'!$I$6))),"x",""))</f>
        <v/>
      </c>
      <c r="S141" s="50" t="str">
        <f>IF(ISERROR(FIND('112'!$M$9,G141,1)),"",IF((AND(LEFT(G141,2)=LEFT('112'!$M$9,2),B141&lt;'112'!$N$8,$L141='112'!$I$6)),"x",""))</f>
        <v/>
      </c>
      <c r="T141" s="50" t="str">
        <f>IF(ISERROR(FIND('112'!$M$9,G141,1)),"",IF((AND(RIGHT(G141,2)=RIGHT('112'!$M$9,2),B141&lt;'112'!$N$8,$M141='112'!$I$6)),"x",""))</f>
        <v/>
      </c>
      <c r="U141" s="50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0" t="str">
        <f>IF(OR(TH!L141=TH!$V$7,M141=TH!$V$7),"x","")</f>
        <v/>
      </c>
      <c r="W141" s="50" t="str">
        <f>IF(AND(B141&gt;='IN-NX'!$P$3,B141&lt;='IN-NX'!$Q$3,'IN-NX'!$D$7=D141,OR(LEFT(L141,2)="15",AND(LEFT(M141,2)&lt;&gt;"15",LEFT(M141,2)&lt;&gt;"33"))),"x","")</f>
        <v/>
      </c>
      <c r="X141" s="50" t="str">
        <f>IF(AND(OR(LEFT(TH!L141,2)="15",LEFT(TH!M141,2)="15"),'152-CT'!$J$8=TH!F141),"x","")</f>
        <v/>
      </c>
      <c r="Y141" s="50" t="str">
        <f>IF(AND(OR(LEFT(TH!L141,2)="15",LEFT(TH!M141,2)="15"),TK!$E$7=TH!F141),"x","")</f>
        <v/>
      </c>
      <c r="Z141" s="50" t="str">
        <f>IF(AND(B141&lt;=NKC!$N$8,B141&gt;=NKC!$M$8),"x","")</f>
        <v/>
      </c>
      <c r="AA141" s="845"/>
    </row>
    <row r="142" spans="1:30" s="581" customFormat="1" ht="15.75" customHeight="1">
      <c r="A142" s="846" t="str">
        <f>IF(B142&lt;&gt;"",IF(AND(B142&gt;=_TM1,B142&lt;=_TM2,OR(TH!L142="1111",TH!M142="1111")),TH!D142,""),"")</f>
        <v>C27</v>
      </c>
      <c r="B142" s="36">
        <f>IF(C142&lt;&gt;"",MONTH(C142),"")</f>
        <v>12</v>
      </c>
      <c r="C142" s="187">
        <f>E142</f>
        <v>41260</v>
      </c>
      <c r="D142" s="187" t="s">
        <v>769</v>
      </c>
      <c r="E142" s="180">
        <v>41260</v>
      </c>
      <c r="F142" s="188" t="s">
        <v>621</v>
      </c>
      <c r="G142" s="853" t="s">
        <v>700</v>
      </c>
      <c r="H142" s="200" t="s">
        <v>620</v>
      </c>
      <c r="I142" s="249"/>
      <c r="J142" s="249"/>
      <c r="K142" s="37">
        <f>77272+181818</f>
        <v>259090</v>
      </c>
      <c r="L142" s="190" t="s">
        <v>83</v>
      </c>
      <c r="M142" s="190" t="s">
        <v>47</v>
      </c>
      <c r="N142" s="50" t="str">
        <f>IF(AND('331-CT'!$E$7=TH!H142,OR(L142="331",M142="331")),"331",IF(AND(OR(L142="131",M142="131"),H142='131-CT'!$E$7),"131",""))</f>
        <v/>
      </c>
      <c r="O142" s="50" t="str">
        <f>IF(AND($B142&gt;='111'!$N$11,$B142&lt;='111'!$O$11,OR($L142=$O$7,$M142=$O$7)),"x","")</f>
        <v>x</v>
      </c>
      <c r="P142" s="50" t="str">
        <f>IF(AND($L142=$O$7,$B142&lt;'111'!$N$11),"x","")</f>
        <v/>
      </c>
      <c r="Q142" s="50" t="str">
        <f>IF(AND($M142=$O$7,$B142&lt;'111'!$N$11),"x","")</f>
        <v/>
      </c>
      <c r="R142" s="50" t="str">
        <f>IF(ISERROR(FIND('112'!$M$9,G142,1)),"",IF((AND(FIND('112'!$M$9,G142,1)&gt;=1,$B142&gt;='112'!$N$8,$B142&lt;='112'!$O$8,OR($L142='112'!$I$6,$M142='112'!$I$6))),"x",""))</f>
        <v/>
      </c>
      <c r="S142" s="50" t="str">
        <f>IF(ISERROR(FIND('112'!$M$9,G142,1)),"",IF((AND(LEFT(G142,2)=LEFT('112'!$M$9,2),B142&lt;'112'!$N$8,$L142='112'!$I$6)),"x",""))</f>
        <v/>
      </c>
      <c r="T142" s="50" t="str">
        <f>IF(ISERROR(FIND('112'!$M$9,G142,1)),"",IF((AND(RIGHT(G142,2)=RIGHT('112'!$M$9,2),B142&lt;'112'!$N$8,$M142='112'!$I$6)),"x",""))</f>
        <v/>
      </c>
      <c r="U142" s="50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0" t="str">
        <f>IF(OR(TH!L142=TH!$V$7,M142=TH!$V$7),"x","")</f>
        <v>x</v>
      </c>
      <c r="W142" s="50" t="str">
        <f>IF(AND(B142&gt;='IN-NX'!$P$3,B142&lt;='IN-NX'!$Q$3,'IN-NX'!$D$7=D142,OR(LEFT(L142,2)="15",AND(LEFT(M142,2)&lt;&gt;"15",LEFT(M142,2)&lt;&gt;"33"))),"x","")</f>
        <v/>
      </c>
      <c r="X142" s="50" t="str">
        <f>IF(AND(OR(LEFT(TH!L142,2)="15",LEFT(TH!M142,2)="15"),'152-CT'!$J$8=TH!F142),"x","")</f>
        <v/>
      </c>
      <c r="Y142" s="50" t="str">
        <f>IF(AND(OR(LEFT(TH!L142,2)="15",LEFT(TH!M142,2)="15"),TK!$E$7=TH!F142),"x","")</f>
        <v/>
      </c>
      <c r="Z142" s="50" t="str">
        <f>IF(AND(B142&lt;=NKC!$N$8,B142&gt;=NKC!$M$8),"x","")</f>
        <v/>
      </c>
      <c r="AA142" s="845"/>
    </row>
    <row r="143" spans="1:30" s="581" customFormat="1" ht="15.75" customHeight="1">
      <c r="A143" s="846" t="str">
        <f>IF(B143&lt;&gt;"",IF(AND(B143&gt;=_TM1,B143&lt;=_TM2,OR(TH!L143="1111",TH!M143="1111")),TH!D143,""),"")</f>
        <v>C27</v>
      </c>
      <c r="B143" s="36">
        <f>IF(C143&lt;&gt;"",MONTH(C143),"")</f>
        <v>12</v>
      </c>
      <c r="C143" s="187">
        <f>E143</f>
        <v>41260</v>
      </c>
      <c r="D143" s="187" t="s">
        <v>769</v>
      </c>
      <c r="E143" s="180">
        <v>41260</v>
      </c>
      <c r="F143" s="188" t="s">
        <v>622</v>
      </c>
      <c r="G143" s="853" t="s">
        <v>700</v>
      </c>
      <c r="H143" s="200" t="s">
        <v>620</v>
      </c>
      <c r="I143" s="249"/>
      <c r="J143" s="249"/>
      <c r="K143" s="37">
        <f>7728+18182</f>
        <v>25910</v>
      </c>
      <c r="L143" s="190" t="s">
        <v>9</v>
      </c>
      <c r="M143" s="190" t="s">
        <v>47</v>
      </c>
      <c r="N143" s="50" t="str">
        <f>IF(AND('331-CT'!$E$7=TH!H143,OR(L143="331",M143="331")),"331",IF(AND(OR(L143="131",M143="131"),H143='131-CT'!$E$7),"131",""))</f>
        <v/>
      </c>
      <c r="O143" s="50" t="str">
        <f>IF(AND($B143&gt;='111'!$N$11,$B143&lt;='111'!$O$11,OR($L143=$O$7,$M143=$O$7)),"x","")</f>
        <v>x</v>
      </c>
      <c r="P143" s="50" t="str">
        <f>IF(AND($L143=$O$7,$B143&lt;'111'!$N$11),"x","")</f>
        <v/>
      </c>
      <c r="Q143" s="50" t="str">
        <f>IF(AND($M143=$O$7,$B143&lt;'111'!$N$11),"x","")</f>
        <v/>
      </c>
      <c r="R143" s="50" t="str">
        <f>IF(ISERROR(FIND('112'!$M$9,G143,1)),"",IF((AND(FIND('112'!$M$9,G143,1)&gt;=1,$B143&gt;='112'!$N$8,$B143&lt;='112'!$O$8,OR($L143='112'!$I$6,$M143='112'!$I$6))),"x",""))</f>
        <v/>
      </c>
      <c r="S143" s="50" t="str">
        <f>IF(ISERROR(FIND('112'!$M$9,G143,1)),"",IF((AND(LEFT(G143,2)=LEFT('112'!$M$9,2),B143&lt;'112'!$N$8,$L143='112'!$I$6)),"x",""))</f>
        <v/>
      </c>
      <c r="T143" s="50" t="str">
        <f>IF(ISERROR(FIND('112'!$M$9,G143,1)),"",IF((AND(RIGHT(G143,2)=RIGHT('112'!$M$9,2),B143&lt;'112'!$N$8,$M143='112'!$I$6)),"x",""))</f>
        <v/>
      </c>
      <c r="U143" s="50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0" t="str">
        <f>IF(OR(TH!L143=TH!$V$7,M143=TH!$V$7),"x","")</f>
        <v/>
      </c>
      <c r="W143" s="50" t="str">
        <f>IF(AND(B143&gt;='IN-NX'!$P$3,B143&lt;='IN-NX'!$Q$3,'IN-NX'!$D$7=D143,OR(LEFT(L143,2)="15",AND(LEFT(M143,2)&lt;&gt;"15",LEFT(M143,2)&lt;&gt;"33"))),"x","")</f>
        <v/>
      </c>
      <c r="X143" s="50" t="str">
        <f>IF(AND(OR(LEFT(TH!L143,2)="15",LEFT(TH!M143,2)="15"),'152-CT'!$J$8=TH!F143),"x","")</f>
        <v/>
      </c>
      <c r="Y143" s="50" t="str">
        <f>IF(AND(OR(LEFT(TH!L143,2)="15",LEFT(TH!M143,2)="15"),TK!$E$7=TH!F143),"x","")</f>
        <v/>
      </c>
      <c r="Z143" s="50" t="str">
        <f>IF(AND(B143&lt;=NKC!$N$8,B143&gt;=NKC!$M$8),"x","")</f>
        <v/>
      </c>
      <c r="AA143" s="845"/>
    </row>
    <row r="144" spans="1:30" s="581" customFormat="1" ht="15.75" customHeight="1">
      <c r="A144" s="846" t="str">
        <f>IF(B144&lt;&gt;"",IF(AND(B144&gt;=_TM1,B144&lt;=_TM2,OR(TH!L144="1111",TH!M144="1111")),TH!D144,""),"")</f>
        <v/>
      </c>
      <c r="B144" s="36">
        <f>IF(C144&lt;&gt;"",MONTH(C144),"")</f>
        <v>12</v>
      </c>
      <c r="C144" s="187">
        <f>E144</f>
        <v>41268</v>
      </c>
      <c r="D144" s="180" t="s">
        <v>715</v>
      </c>
      <c r="E144" s="180">
        <v>41268</v>
      </c>
      <c r="F144" s="185" t="s">
        <v>718</v>
      </c>
      <c r="G144" s="853" t="s">
        <v>616</v>
      </c>
      <c r="H144" s="189" t="s">
        <v>728</v>
      </c>
      <c r="I144" s="249"/>
      <c r="J144" s="249"/>
      <c r="K144" s="589">
        <v>19077784</v>
      </c>
      <c r="L144" s="590" t="s">
        <v>24</v>
      </c>
      <c r="M144" s="590" t="s">
        <v>269</v>
      </c>
      <c r="N144" s="50" t="str">
        <f>IF(AND('331-CT'!$E$7=TH!H144,OR(L144="331",M144="331")),"331",IF(AND(OR(L144="131",M144="131"),H144='131-CT'!$E$7),"131",""))</f>
        <v/>
      </c>
      <c r="O144" s="50" t="str">
        <f>IF(AND($B144&gt;='111'!$N$11,$B144&lt;='111'!$O$11,OR($L144=$O$7,$M144=$O$7)),"x","")</f>
        <v/>
      </c>
      <c r="P144" s="50" t="str">
        <f>IF(AND($L144=$O$7,$B144&lt;'111'!$N$11),"x","")</f>
        <v/>
      </c>
      <c r="Q144" s="50" t="str">
        <f>IF(AND($M144=$O$7,$B144&lt;'111'!$N$11),"x","")</f>
        <v/>
      </c>
      <c r="R144" s="50" t="str">
        <f>IF(ISERROR(FIND('112'!$M$9,G144,1)),"",IF((AND(FIND('112'!$M$9,G144,1)&gt;=1,$B144&gt;='112'!$N$8,$B144&lt;='112'!$O$8,OR($L144='112'!$I$6,$M144='112'!$I$6))),"x",""))</f>
        <v>x</v>
      </c>
      <c r="S144" s="50" t="str">
        <f>IF(ISERROR(FIND('112'!$M$9,G144,1)),"",IF((AND(LEFT(G144,2)=LEFT('112'!$M$9,2),B144&lt;'112'!$N$8,$L144='112'!$I$6)),"x",""))</f>
        <v/>
      </c>
      <c r="T144" s="50" t="str">
        <f>IF(ISERROR(FIND('112'!$M$9,G144,1)),"",IF((AND(RIGHT(G144,2)=RIGHT('112'!$M$9,2),B144&lt;'112'!$N$8,$M144='112'!$I$6)),"x",""))</f>
        <v/>
      </c>
      <c r="U144" s="50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0" t="str">
        <f>IF(OR(TH!L144=TH!$V$7,M144=TH!$V$7),"x","")</f>
        <v/>
      </c>
      <c r="W144" s="50" t="str">
        <f>IF(AND(B144&gt;='IN-NX'!$P$3,B144&lt;='IN-NX'!$Q$3,'IN-NX'!$D$7=D144,OR(LEFT(L144,2)="15",AND(LEFT(M144,2)&lt;&gt;"15",LEFT(M144,2)&lt;&gt;"33"))),"x","")</f>
        <v/>
      </c>
      <c r="X144" s="50" t="str">
        <f>IF(AND(OR(LEFT(TH!L144,2)="15",LEFT(TH!M144,2)="15"),'152-CT'!$J$8=TH!F144),"x","")</f>
        <v/>
      </c>
      <c r="Y144" s="50" t="str">
        <f>IF(AND(OR(LEFT(TH!L144,2)="15",LEFT(TH!M144,2)="15"),TK!$E$7=TH!F144),"x","")</f>
        <v/>
      </c>
      <c r="Z144" s="50" t="str">
        <f>IF(AND(B144&lt;=NKC!$N$8,B144&gt;=NKC!$M$8),"x","")</f>
        <v/>
      </c>
      <c r="AA144" s="845"/>
    </row>
    <row r="145" spans="1:30" s="581" customFormat="1" ht="15.75" customHeight="1">
      <c r="A145" s="846" t="str">
        <f>IF(B145&lt;&gt;"",IF(AND(B145&gt;=_TM1,B145&lt;=_TM2,OR(TH!L145="1111",TH!M145="1111")),TH!D145,""),"")</f>
        <v>C28</v>
      </c>
      <c r="B145" s="36">
        <f>IF(C145&lt;&gt;"",MONTH(C145),"")</f>
        <v>12</v>
      </c>
      <c r="C145" s="187">
        <f>E145</f>
        <v>41269</v>
      </c>
      <c r="D145" s="180" t="s">
        <v>770</v>
      </c>
      <c r="E145" s="180">
        <v>41269</v>
      </c>
      <c r="F145" s="185" t="s">
        <v>605</v>
      </c>
      <c r="G145" s="854" t="s">
        <v>704</v>
      </c>
      <c r="H145" s="189" t="s">
        <v>701</v>
      </c>
      <c r="I145" s="249"/>
      <c r="J145" s="249"/>
      <c r="K145" s="589">
        <v>3181818</v>
      </c>
      <c r="L145" s="190" t="s">
        <v>83</v>
      </c>
      <c r="M145" s="190" t="s">
        <v>47</v>
      </c>
      <c r="N145" s="50" t="str">
        <f>IF(AND('331-CT'!$E$7=TH!H145,OR(L145="331",M145="331")),"331",IF(AND(OR(L145="131",M145="131"),H145='131-CT'!$E$7),"131",""))</f>
        <v/>
      </c>
      <c r="O145" s="50" t="str">
        <f>IF(AND($B145&gt;='111'!$N$11,$B145&lt;='111'!$O$11,OR($L145=$O$7,$M145=$O$7)),"x","")</f>
        <v>x</v>
      </c>
      <c r="P145" s="50" t="str">
        <f>IF(AND($L145=$O$7,$B145&lt;'111'!$N$11),"x","")</f>
        <v/>
      </c>
      <c r="Q145" s="50" t="str">
        <f>IF(AND($M145=$O$7,$B145&lt;'111'!$N$11),"x","")</f>
        <v/>
      </c>
      <c r="R145" s="50" t="str">
        <f>IF(ISERROR(FIND('112'!$M$9,G145,1)),"",IF((AND(FIND('112'!$M$9,G145,1)&gt;=1,$B145&gt;='112'!$N$8,$B145&lt;='112'!$O$8,OR($L145='112'!$I$6,$M145='112'!$I$6))),"x",""))</f>
        <v/>
      </c>
      <c r="S145" s="50" t="str">
        <f>IF(ISERROR(FIND('112'!$M$9,G145,1)),"",IF((AND(LEFT(G145,2)=LEFT('112'!$M$9,2),B145&lt;'112'!$N$8,$L145='112'!$I$6)),"x",""))</f>
        <v/>
      </c>
      <c r="T145" s="50" t="str">
        <f>IF(ISERROR(FIND('112'!$M$9,G145,1)),"",IF((AND(RIGHT(G145,2)=RIGHT('112'!$M$9,2),B145&lt;'112'!$N$8,$M145='112'!$I$6)),"x",""))</f>
        <v/>
      </c>
      <c r="U145" s="50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0" t="str">
        <f>IF(OR(TH!L145=TH!$V$7,M145=TH!$V$7),"x","")</f>
        <v>x</v>
      </c>
      <c r="W145" s="50" t="str">
        <f>IF(AND(B145&gt;='IN-NX'!$P$3,B145&lt;='IN-NX'!$Q$3,'IN-NX'!$D$7=D145,OR(LEFT(L145,2)="15",AND(LEFT(M145,2)&lt;&gt;"15",LEFT(M145,2)&lt;&gt;"33"))),"x","")</f>
        <v/>
      </c>
      <c r="X145" s="50" t="str">
        <f>IF(AND(OR(LEFT(TH!L145,2)="15",LEFT(TH!M145,2)="15"),'152-CT'!$J$8=TH!F145),"x","")</f>
        <v/>
      </c>
      <c r="Y145" s="50" t="str">
        <f>IF(AND(OR(LEFT(TH!L145,2)="15",LEFT(TH!M145,2)="15"),TK!$E$7=TH!F145),"x","")</f>
        <v/>
      </c>
      <c r="Z145" s="50" t="str">
        <f>IF(AND(B145&lt;=NKC!$N$8,B145&gt;=NKC!$M$8),"x","")</f>
        <v/>
      </c>
      <c r="AA145" s="845"/>
      <c r="AC145" s="201"/>
    </row>
    <row r="146" spans="1:30" s="581" customFormat="1" ht="15.75" customHeight="1">
      <c r="A146" s="846" t="str">
        <f>IF(B146&lt;&gt;"",IF(AND(B146&gt;=_TM1,B146&lt;=_TM2,OR(TH!L146="1111",TH!M146="1111")),TH!D146,""),"")</f>
        <v>C28</v>
      </c>
      <c r="B146" s="36">
        <f>IF(C146&lt;&gt;"",MONTH(C146),"")</f>
        <v>12</v>
      </c>
      <c r="C146" s="187">
        <f>E146</f>
        <v>41269</v>
      </c>
      <c r="D146" s="180" t="s">
        <v>770</v>
      </c>
      <c r="E146" s="180">
        <v>41269</v>
      </c>
      <c r="F146" s="185" t="s">
        <v>606</v>
      </c>
      <c r="G146" s="854" t="s">
        <v>704</v>
      </c>
      <c r="H146" s="189" t="s">
        <v>701</v>
      </c>
      <c r="I146" s="249"/>
      <c r="J146" s="249"/>
      <c r="K146" s="589">
        <v>318182</v>
      </c>
      <c r="L146" s="190" t="s">
        <v>9</v>
      </c>
      <c r="M146" s="190" t="s">
        <v>47</v>
      </c>
      <c r="N146" s="50" t="str">
        <f>IF(AND('331-CT'!$E$7=TH!H146,OR(L146="331",M146="331")),"331",IF(AND(OR(L146="131",M146="131"),H146='131-CT'!$E$7),"131",""))</f>
        <v/>
      </c>
      <c r="O146" s="50" t="str">
        <f>IF(AND($B146&gt;='111'!$N$11,$B146&lt;='111'!$O$11,OR($L146=$O$7,$M146=$O$7)),"x","")</f>
        <v>x</v>
      </c>
      <c r="P146" s="50" t="str">
        <f>IF(AND($L146=$O$7,$B146&lt;'111'!$N$11),"x","")</f>
        <v/>
      </c>
      <c r="Q146" s="50" t="str">
        <f>IF(AND($M146=$O$7,$B146&lt;'111'!$N$11),"x","")</f>
        <v/>
      </c>
      <c r="R146" s="50" t="str">
        <f>IF(ISERROR(FIND('112'!$M$9,G146,1)),"",IF((AND(FIND('112'!$M$9,G146,1)&gt;=1,$B146&gt;='112'!$N$8,$B146&lt;='112'!$O$8,OR($L146='112'!$I$6,$M146='112'!$I$6))),"x",""))</f>
        <v/>
      </c>
      <c r="S146" s="50" t="str">
        <f>IF(ISERROR(FIND('112'!$M$9,G146,1)),"",IF((AND(LEFT(G146,2)=LEFT('112'!$M$9,2),B146&lt;'112'!$N$8,$L146='112'!$I$6)),"x",""))</f>
        <v/>
      </c>
      <c r="T146" s="50" t="str">
        <f>IF(ISERROR(FIND('112'!$M$9,G146,1)),"",IF((AND(RIGHT(G146,2)=RIGHT('112'!$M$9,2),B146&lt;'112'!$N$8,$M146='112'!$I$6)),"x",""))</f>
        <v/>
      </c>
      <c r="U146" s="50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0" t="str">
        <f>IF(OR(TH!L146=TH!$V$7,M146=TH!$V$7),"x","")</f>
        <v/>
      </c>
      <c r="W146" s="50" t="str">
        <f>IF(AND(B146&gt;='IN-NX'!$P$3,B146&lt;='IN-NX'!$Q$3,'IN-NX'!$D$7=D146,OR(LEFT(L146,2)="15",AND(LEFT(M146,2)&lt;&gt;"15",LEFT(M146,2)&lt;&gt;"33"))),"x","")</f>
        <v/>
      </c>
      <c r="X146" s="50" t="str">
        <f>IF(AND(OR(LEFT(TH!L146,2)="15",LEFT(TH!M146,2)="15"),'152-CT'!$J$8=TH!F146),"x","")</f>
        <v/>
      </c>
      <c r="Y146" s="50" t="str">
        <f>IF(AND(OR(LEFT(TH!L146,2)="15",LEFT(TH!M146,2)="15"),TK!$E$7=TH!F146),"x","")</f>
        <v/>
      </c>
      <c r="Z146" s="50" t="str">
        <f>IF(AND(B146&lt;=NKC!$N$8,B146&gt;=NKC!$M$8),"x","")</f>
        <v/>
      </c>
      <c r="AA146" s="845"/>
      <c r="AB146" s="201"/>
      <c r="AC146" s="201"/>
    </row>
    <row r="147" spans="1:30" s="581" customFormat="1" ht="15.75" customHeight="1">
      <c r="A147" s="846" t="str">
        <f>IF(B147&lt;&gt;"",IF(AND(B147&gt;=_TM1,B147&lt;=_TM2,OR(TH!L147="1111",TH!M147="1111")),TH!D147,""),"")</f>
        <v>T05</v>
      </c>
      <c r="B147" s="36">
        <f>IF(C147&lt;&gt;"",MONTH(C147),"")</f>
        <v>12</v>
      </c>
      <c r="C147" s="187">
        <f>E147</f>
        <v>41271</v>
      </c>
      <c r="D147" s="180" t="s">
        <v>771</v>
      </c>
      <c r="E147" s="180">
        <v>41271</v>
      </c>
      <c r="F147" s="185" t="s">
        <v>721</v>
      </c>
      <c r="G147" s="853" t="s">
        <v>616</v>
      </c>
      <c r="H147" s="189" t="s">
        <v>727</v>
      </c>
      <c r="I147" s="249"/>
      <c r="J147" s="249"/>
      <c r="K147" s="589">
        <v>19000000</v>
      </c>
      <c r="L147" s="590" t="s">
        <v>47</v>
      </c>
      <c r="M147" s="590" t="s">
        <v>24</v>
      </c>
      <c r="N147" s="50" t="str">
        <f>IF(AND('331-CT'!$E$7=TH!H147,OR(L147="331",M147="331")),"331",IF(AND(OR(L147="131",M147="131"),H147='131-CT'!$E$7),"131",""))</f>
        <v/>
      </c>
      <c r="O147" s="50" t="str">
        <f>IF(AND($B147&gt;='111'!$N$11,$B147&lt;='111'!$O$11,OR($L147=$O$7,$M147=$O$7)),"x","")</f>
        <v>x</v>
      </c>
      <c r="P147" s="50" t="str">
        <f>IF(AND($L147=$O$7,$B147&lt;'111'!$N$11),"x","")</f>
        <v/>
      </c>
      <c r="Q147" s="50" t="str">
        <f>IF(AND($M147=$O$7,$B147&lt;'111'!$N$11),"x","")</f>
        <v/>
      </c>
      <c r="R147" s="50" t="str">
        <f>IF(ISERROR(FIND('112'!$M$9,G147,1)),"",IF((AND(FIND('112'!$M$9,G147,1)&gt;=1,$B147&gt;='112'!$N$8,$B147&lt;='112'!$O$8,OR($L147='112'!$I$6,$M147='112'!$I$6))),"x",""))</f>
        <v>x</v>
      </c>
      <c r="S147" s="50" t="str">
        <f>IF(ISERROR(FIND('112'!$M$9,G147,1)),"",IF((AND(LEFT(G147,2)=LEFT('112'!$M$9,2),B147&lt;'112'!$N$8,$L147='112'!$I$6)),"x",""))</f>
        <v/>
      </c>
      <c r="T147" s="50" t="str">
        <f>IF(ISERROR(FIND('112'!$M$9,G147,1)),"",IF((AND(RIGHT(G147,2)=RIGHT('112'!$M$9,2),B147&lt;'112'!$N$8,$M147='112'!$I$6)),"x",""))</f>
        <v/>
      </c>
      <c r="U147" s="50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0" t="str">
        <f>IF(OR(TH!L147=TH!$V$7,M147=TH!$V$7),"x","")</f>
        <v/>
      </c>
      <c r="W147" s="50" t="str">
        <f>IF(AND(B147&gt;='IN-NX'!$P$3,B147&lt;='IN-NX'!$Q$3,'IN-NX'!$D$7=D147,OR(LEFT(L147,2)="15",AND(LEFT(M147,2)&lt;&gt;"15",LEFT(M147,2)&lt;&gt;"33"))),"x","")</f>
        <v/>
      </c>
      <c r="X147" s="50" t="str">
        <f>IF(AND(OR(LEFT(TH!L147,2)="15",LEFT(TH!M147,2)="15"),'152-CT'!$J$8=TH!F147),"x","")</f>
        <v/>
      </c>
      <c r="Y147" s="50" t="str">
        <f>IF(AND(OR(LEFT(TH!L147,2)="15",LEFT(TH!M147,2)="15"),TK!$E$7=TH!F147),"x","")</f>
        <v/>
      </c>
      <c r="Z147" s="50" t="str">
        <f>IF(AND(B147&lt;=NKC!$N$8,B147&gt;=NKC!$M$8),"x","")</f>
        <v/>
      </c>
      <c r="AA147" s="845"/>
    </row>
    <row r="148" spans="1:30" s="581" customFormat="1" ht="15.75" customHeight="1">
      <c r="A148" s="846" t="str">
        <f>IF(B148&lt;&gt;"",IF(AND(B148&gt;=_TM1,B148&lt;=_TM2,OR(TH!L148="1111",TH!M148="1111")),TH!D148,""),"")</f>
        <v>C29</v>
      </c>
      <c r="B148" s="36">
        <f>IF(C148&lt;&gt;"",MONTH(C148),"")</f>
        <v>12</v>
      </c>
      <c r="C148" s="187">
        <f>E148</f>
        <v>41271</v>
      </c>
      <c r="D148" s="180" t="s">
        <v>772</v>
      </c>
      <c r="E148" s="180">
        <v>41271</v>
      </c>
      <c r="F148" s="185" t="s">
        <v>605</v>
      </c>
      <c r="G148" s="854" t="s">
        <v>703</v>
      </c>
      <c r="H148" s="189" t="s">
        <v>701</v>
      </c>
      <c r="I148" s="249"/>
      <c r="J148" s="249"/>
      <c r="K148" s="589">
        <v>3363636</v>
      </c>
      <c r="L148" s="190" t="s">
        <v>83</v>
      </c>
      <c r="M148" s="190" t="s">
        <v>47</v>
      </c>
      <c r="N148" s="50" t="str">
        <f>IF(AND('331-CT'!$E$7=TH!H148,OR(L148="331",M148="331")),"331",IF(AND(OR(L148="131",M148="131"),H148='131-CT'!$E$7),"131",""))</f>
        <v/>
      </c>
      <c r="O148" s="50" t="str">
        <f>IF(AND($B148&gt;='111'!$N$11,$B148&lt;='111'!$O$11,OR($L148=$O$7,$M148=$O$7)),"x","")</f>
        <v>x</v>
      </c>
      <c r="P148" s="50" t="str">
        <f>IF(AND($L148=$O$7,$B148&lt;'111'!$N$11),"x","")</f>
        <v/>
      </c>
      <c r="Q148" s="50" t="str">
        <f>IF(AND($M148=$O$7,$B148&lt;'111'!$N$11),"x","")</f>
        <v/>
      </c>
      <c r="R148" s="50" t="str">
        <f>IF(ISERROR(FIND('112'!$M$9,G148,1)),"",IF((AND(FIND('112'!$M$9,G148,1)&gt;=1,$B148&gt;='112'!$N$8,$B148&lt;='112'!$O$8,OR($L148='112'!$I$6,$M148='112'!$I$6))),"x",""))</f>
        <v/>
      </c>
      <c r="S148" s="50" t="str">
        <f>IF(ISERROR(FIND('112'!$M$9,G148,1)),"",IF((AND(LEFT(G148,2)=LEFT('112'!$M$9,2),B148&lt;'112'!$N$8,$L148='112'!$I$6)),"x",""))</f>
        <v/>
      </c>
      <c r="T148" s="50" t="str">
        <f>IF(ISERROR(FIND('112'!$M$9,G148,1)),"",IF((AND(RIGHT(G148,2)=RIGHT('112'!$M$9,2),B148&lt;'112'!$N$8,$M148='112'!$I$6)),"x",""))</f>
        <v/>
      </c>
      <c r="U148" s="50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0" t="str">
        <f>IF(OR(TH!L148=TH!$V$7,M148=TH!$V$7),"x","")</f>
        <v>x</v>
      </c>
      <c r="W148" s="50" t="str">
        <f>IF(AND(B148&gt;='IN-NX'!$P$3,B148&lt;='IN-NX'!$Q$3,'IN-NX'!$D$7=D148,OR(LEFT(L148,2)="15",AND(LEFT(M148,2)&lt;&gt;"15",LEFT(M148,2)&lt;&gt;"33"))),"x","")</f>
        <v/>
      </c>
      <c r="X148" s="50" t="str">
        <f>IF(AND(OR(LEFT(TH!L148,2)="15",LEFT(TH!M148,2)="15"),'152-CT'!$J$8=TH!F148),"x","")</f>
        <v/>
      </c>
      <c r="Y148" s="50" t="str">
        <f>IF(AND(OR(LEFT(TH!L148,2)="15",LEFT(TH!M148,2)="15"),TK!$E$7=TH!F148),"x","")</f>
        <v/>
      </c>
      <c r="Z148" s="50" t="str">
        <f>IF(AND(B148&lt;=NKC!$N$8,B148&gt;=NKC!$M$8),"x","")</f>
        <v/>
      </c>
      <c r="AA148" s="845"/>
    </row>
    <row r="149" spans="1:30" s="581" customFormat="1" ht="15.75" customHeight="1">
      <c r="A149" s="846" t="str">
        <f>IF(B149&lt;&gt;"",IF(AND(B149&gt;=_TM1,B149&lt;=_TM2,OR(TH!L149="1111",TH!M149="1111")),TH!D149,""),"")</f>
        <v>C29</v>
      </c>
      <c r="B149" s="36">
        <f>IF(C149&lt;&gt;"",MONTH(C149),"")</f>
        <v>12</v>
      </c>
      <c r="C149" s="187">
        <f>E149</f>
        <v>41271</v>
      </c>
      <c r="D149" s="180" t="s">
        <v>772</v>
      </c>
      <c r="E149" s="180">
        <v>41271</v>
      </c>
      <c r="F149" s="185" t="s">
        <v>606</v>
      </c>
      <c r="G149" s="854" t="s">
        <v>703</v>
      </c>
      <c r="H149" s="189" t="s">
        <v>701</v>
      </c>
      <c r="I149" s="249"/>
      <c r="J149" s="249"/>
      <c r="K149" s="589">
        <v>336364</v>
      </c>
      <c r="L149" s="190" t="s">
        <v>9</v>
      </c>
      <c r="M149" s="190" t="s">
        <v>47</v>
      </c>
      <c r="N149" s="50" t="str">
        <f>IF(AND('331-CT'!$E$7=TH!H149,OR(L149="331",M149="331")),"331",IF(AND(OR(L149="131",M149="131"),H149='131-CT'!$E$7),"131",""))</f>
        <v/>
      </c>
      <c r="O149" s="50" t="str">
        <f>IF(AND($B149&gt;='111'!$N$11,$B149&lt;='111'!$O$11,OR($L149=$O$7,$M149=$O$7)),"x","")</f>
        <v>x</v>
      </c>
      <c r="P149" s="50" t="str">
        <f>IF(AND($L149=$O$7,$B149&lt;'111'!$N$11),"x","")</f>
        <v/>
      </c>
      <c r="Q149" s="50" t="str">
        <f>IF(AND($M149=$O$7,$B149&lt;'111'!$N$11),"x","")</f>
        <v/>
      </c>
      <c r="R149" s="50" t="str">
        <f>IF(ISERROR(FIND('112'!$M$9,G149,1)),"",IF((AND(FIND('112'!$M$9,G149,1)&gt;=1,$B149&gt;='112'!$N$8,$B149&lt;='112'!$O$8,OR($L149='112'!$I$6,$M149='112'!$I$6))),"x",""))</f>
        <v/>
      </c>
      <c r="S149" s="50" t="str">
        <f>IF(ISERROR(FIND('112'!$M$9,G149,1)),"",IF((AND(LEFT(G149,2)=LEFT('112'!$M$9,2),B149&lt;'112'!$N$8,$L149='112'!$I$6)),"x",""))</f>
        <v/>
      </c>
      <c r="T149" s="50" t="str">
        <f>IF(ISERROR(FIND('112'!$M$9,G149,1)),"",IF((AND(RIGHT(G149,2)=RIGHT('112'!$M$9,2),B149&lt;'112'!$N$8,$M149='112'!$I$6)),"x",""))</f>
        <v/>
      </c>
      <c r="U149" s="50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0" t="str">
        <f>IF(OR(TH!L149=TH!$V$7,M149=TH!$V$7),"x","")</f>
        <v/>
      </c>
      <c r="W149" s="50" t="str">
        <f>IF(AND(B149&gt;='IN-NX'!$P$3,B149&lt;='IN-NX'!$Q$3,'IN-NX'!$D$7=D149,OR(LEFT(L149,2)="15",AND(LEFT(M149,2)&lt;&gt;"15",LEFT(M149,2)&lt;&gt;"33"))),"x","")</f>
        <v/>
      </c>
      <c r="X149" s="50" t="str">
        <f>IF(AND(OR(LEFT(TH!L149,2)="15",LEFT(TH!M149,2)="15"),'152-CT'!$J$8=TH!F149),"x","")</f>
        <v/>
      </c>
      <c r="Y149" s="50" t="str">
        <f>IF(AND(OR(LEFT(TH!L149,2)="15",LEFT(TH!M149,2)="15"),TK!$E$7=TH!F149),"x","")</f>
        <v/>
      </c>
      <c r="Z149" s="50" t="str">
        <f>IF(AND(B149&lt;=NKC!$N$8,B149&gt;=NKC!$M$8),"x","")</f>
        <v/>
      </c>
      <c r="AA149" s="845"/>
      <c r="AB149" s="201"/>
      <c r="AC149" s="201"/>
    </row>
    <row r="150" spans="1:30" s="581" customFormat="1" ht="15.75" customHeight="1">
      <c r="A150" s="846" t="str">
        <f>IF(B150&lt;&gt;"",IF(AND(B150&gt;=_TM1,B150&lt;=_TM2,OR(TH!L150="1111",TH!M150="1111")),TH!D150,""),"")</f>
        <v/>
      </c>
      <c r="B150" s="36">
        <f>IF(C150&lt;&gt;"",MONTH(C150),"")</f>
        <v>12</v>
      </c>
      <c r="C150" s="187">
        <f>E150</f>
        <v>41273</v>
      </c>
      <c r="D150" s="180" t="s">
        <v>774</v>
      </c>
      <c r="E150" s="180">
        <v>41273</v>
      </c>
      <c r="F150" s="185" t="s">
        <v>671</v>
      </c>
      <c r="G150" s="854" t="s">
        <v>706</v>
      </c>
      <c r="H150" s="7" t="s">
        <v>632</v>
      </c>
      <c r="I150" s="249">
        <v>550</v>
      </c>
      <c r="J150" s="249">
        <v>8556</v>
      </c>
      <c r="K150" s="37">
        <f>ROUND(I150*J150,0)</f>
        <v>4705800</v>
      </c>
      <c r="L150" s="190" t="s">
        <v>617</v>
      </c>
      <c r="M150" s="190" t="s">
        <v>8</v>
      </c>
      <c r="N150" s="50" t="str">
        <f>IF(AND('331-CT'!$E$7=TH!H150,OR(L150="331",M150="331")),"331",IF(AND(OR(L150="131",M150="131"),H150='131-CT'!$E$7),"131",""))</f>
        <v>331</v>
      </c>
      <c r="O150" s="50" t="str">
        <f>IF(AND($B150&gt;='111'!$N$11,$B150&lt;='111'!$O$11,OR($L150=$O$7,$M150=$O$7)),"x","")</f>
        <v/>
      </c>
      <c r="P150" s="50" t="str">
        <f>IF(AND($L150=$O$7,$B150&lt;'111'!$N$11),"x","")</f>
        <v/>
      </c>
      <c r="Q150" s="50" t="str">
        <f>IF(AND($M150=$O$7,$B150&lt;'111'!$N$11),"x","")</f>
        <v/>
      </c>
      <c r="R150" s="50" t="str">
        <f>IF(ISERROR(FIND('112'!$M$9,G150,1)),"",IF((AND(FIND('112'!$M$9,G150,1)&gt;=1,$B150&gt;='112'!$N$8,$B150&lt;='112'!$O$8,OR($L150='112'!$I$6,$M150='112'!$I$6))),"x",""))</f>
        <v/>
      </c>
      <c r="S150" s="50" t="str">
        <f>IF(ISERROR(FIND('112'!$M$9,G150,1)),"",IF((AND(LEFT(G150,2)=LEFT('112'!$M$9,2),B150&lt;'112'!$N$8,$L150='112'!$I$6)),"x",""))</f>
        <v/>
      </c>
      <c r="T150" s="50" t="str">
        <f>IF(ISERROR(FIND('112'!$M$9,G150,1)),"",IF((AND(RIGHT(G150,2)=RIGHT('112'!$M$9,2),B150&lt;'112'!$N$8,$M150='112'!$I$6)),"x",""))</f>
        <v/>
      </c>
      <c r="U150" s="50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0" t="str">
        <f>IF(OR(TH!L150=TH!$V$7,M150=TH!$V$7),"x","")</f>
        <v/>
      </c>
      <c r="W150" s="50" t="str">
        <f>IF(AND(B150&gt;='IN-NX'!$P$3,B150&lt;='IN-NX'!$Q$3,'IN-NX'!$D$7=D150,OR(LEFT(L150,2)="15",AND(LEFT(M150,2)&lt;&gt;"15",LEFT(M150,2)&lt;&gt;"33"))),"x","")</f>
        <v/>
      </c>
      <c r="X150" s="50" t="str">
        <f>IF(AND(OR(LEFT(TH!L150,2)="15",LEFT(TH!M150,2)="15"),'152-CT'!$J$8=TH!F150),"x","")</f>
        <v/>
      </c>
      <c r="Y150" s="50" t="str">
        <f>IF(AND(OR(LEFT(TH!L150,2)="15",LEFT(TH!M150,2)="15"),TK!$E$7=TH!F150),"x","")</f>
        <v/>
      </c>
      <c r="Z150" s="50" t="str">
        <f>IF(AND(B150&lt;=NKC!$N$8,B150&gt;=NKC!$M$8),"x","")</f>
        <v/>
      </c>
      <c r="AA150" s="845"/>
    </row>
    <row r="151" spans="1:30" s="201" customFormat="1" ht="15.75" customHeight="1">
      <c r="A151" s="846" t="str">
        <f>IF(B151&lt;&gt;"",IF(AND(B151&gt;=_TM1,B151&lt;=_TM2,OR(TH!L151="1111",TH!M151="1111")),TH!D151,""),"")</f>
        <v/>
      </c>
      <c r="B151" s="36">
        <f>IF(C151&lt;&gt;"",MONTH(C151),"")</f>
        <v>12</v>
      </c>
      <c r="C151" s="187">
        <f>E151</f>
        <v>41273</v>
      </c>
      <c r="D151" s="180" t="s">
        <v>774</v>
      </c>
      <c r="E151" s="180">
        <v>41273</v>
      </c>
      <c r="F151" s="185" t="s">
        <v>707</v>
      </c>
      <c r="G151" s="854" t="s">
        <v>706</v>
      </c>
      <c r="H151" s="7" t="s">
        <v>632</v>
      </c>
      <c r="I151" s="249">
        <v>550</v>
      </c>
      <c r="J151" s="249">
        <v>11532</v>
      </c>
      <c r="K151" s="37">
        <f>ROUND(I151*J151,0)</f>
        <v>6342600</v>
      </c>
      <c r="L151" s="190" t="s">
        <v>617</v>
      </c>
      <c r="M151" s="190" t="s">
        <v>8</v>
      </c>
      <c r="N151" s="50" t="str">
        <f>IF(AND('331-CT'!$E$7=TH!H151,OR(L151="331",M151="331")),"331",IF(AND(OR(L151="131",M151="131"),H151='131-CT'!$E$7),"131",""))</f>
        <v>331</v>
      </c>
      <c r="O151" s="50" t="str">
        <f>IF(AND($B151&gt;='111'!$N$11,$B151&lt;='111'!$O$11,OR($L151=$O$7,$M151=$O$7)),"x","")</f>
        <v/>
      </c>
      <c r="P151" s="50" t="str">
        <f>IF(AND($L151=$O$7,$B151&lt;'111'!$N$11),"x","")</f>
        <v/>
      </c>
      <c r="Q151" s="50" t="str">
        <f>IF(AND($M151=$O$7,$B151&lt;'111'!$N$11),"x","")</f>
        <v/>
      </c>
      <c r="R151" s="50" t="str">
        <f>IF(ISERROR(FIND('112'!$M$9,G151,1)),"",IF((AND(FIND('112'!$M$9,G151,1)&gt;=1,$B151&gt;='112'!$N$8,$B151&lt;='112'!$O$8,OR($L151='112'!$I$6,$M151='112'!$I$6))),"x",""))</f>
        <v/>
      </c>
      <c r="S151" s="50" t="str">
        <f>IF(ISERROR(FIND('112'!$M$9,G151,1)),"",IF((AND(LEFT(G151,2)=LEFT('112'!$M$9,2),B151&lt;'112'!$N$8,$L151='112'!$I$6)),"x",""))</f>
        <v/>
      </c>
      <c r="T151" s="50" t="str">
        <f>IF(ISERROR(FIND('112'!$M$9,G151,1)),"",IF((AND(RIGHT(G151,2)=RIGHT('112'!$M$9,2),B151&lt;'112'!$N$8,$M151='112'!$I$6)),"x",""))</f>
        <v/>
      </c>
      <c r="U151" s="50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0" t="str">
        <f>IF(OR(TH!L151=TH!$V$7,M151=TH!$V$7),"x","")</f>
        <v/>
      </c>
      <c r="W151" s="50" t="str">
        <f>IF(AND(B151&gt;='IN-NX'!$P$3,B151&lt;='IN-NX'!$Q$3,'IN-NX'!$D$7=D151,OR(LEFT(L151,2)="15",AND(LEFT(M151,2)&lt;&gt;"15",LEFT(M151,2)&lt;&gt;"33"))),"x","")</f>
        <v/>
      </c>
      <c r="X151" s="50" t="str">
        <f>IF(AND(OR(LEFT(TH!L151,2)="15",LEFT(TH!M151,2)="15"),'152-CT'!$J$8=TH!F151),"x","")</f>
        <v/>
      </c>
      <c r="Y151" s="50" t="str">
        <f>IF(AND(OR(LEFT(TH!L151,2)="15",LEFT(TH!M151,2)="15"),TK!$E$7=TH!F151),"x","")</f>
        <v/>
      </c>
      <c r="Z151" s="50" t="str">
        <f>IF(AND(B151&lt;=NKC!$N$8,B151&gt;=NKC!$M$8),"x","")</f>
        <v/>
      </c>
      <c r="AA151" s="845"/>
      <c r="AD151" s="581"/>
    </row>
    <row r="152" spans="1:30" s="581" customFormat="1" ht="15.75" customHeight="1">
      <c r="A152" s="846" t="str">
        <f>IF(B152&lt;&gt;"",IF(AND(B152&gt;=_TM1,B152&lt;=_TM2,OR(TH!L152="1111",TH!M152="1111")),TH!D152,""),"")</f>
        <v/>
      </c>
      <c r="B152" s="36">
        <f>IF(C152&lt;&gt;"",MONTH(C152),"")</f>
        <v>12</v>
      </c>
      <c r="C152" s="187">
        <f>E152</f>
        <v>41273</v>
      </c>
      <c r="D152" s="180" t="s">
        <v>774</v>
      </c>
      <c r="E152" s="180">
        <v>41273</v>
      </c>
      <c r="F152" s="185" t="s">
        <v>641</v>
      </c>
      <c r="G152" s="854" t="s">
        <v>706</v>
      </c>
      <c r="H152" s="7" t="s">
        <v>632</v>
      </c>
      <c r="I152" s="249">
        <v>500</v>
      </c>
      <c r="J152" s="249">
        <v>10298</v>
      </c>
      <c r="K152" s="37">
        <f>ROUND(I152*J152,0)</f>
        <v>5149000</v>
      </c>
      <c r="L152" s="190" t="s">
        <v>617</v>
      </c>
      <c r="M152" s="190" t="s">
        <v>8</v>
      </c>
      <c r="N152" s="50" t="str">
        <f>IF(AND('331-CT'!$E$7=TH!H152,OR(L152="331",M152="331")),"331",IF(AND(OR(L152="131",M152="131"),H152='131-CT'!$E$7),"131",""))</f>
        <v>331</v>
      </c>
      <c r="O152" s="50" t="str">
        <f>IF(AND($B152&gt;='111'!$N$11,$B152&lt;='111'!$O$11,OR($L152=$O$7,$M152=$O$7)),"x","")</f>
        <v/>
      </c>
      <c r="P152" s="50" t="str">
        <f>IF(AND($L152=$O$7,$B152&lt;'111'!$N$11),"x","")</f>
        <v/>
      </c>
      <c r="Q152" s="50" t="str">
        <f>IF(AND($M152=$O$7,$B152&lt;'111'!$N$11),"x","")</f>
        <v/>
      </c>
      <c r="R152" s="50" t="str">
        <f>IF(ISERROR(FIND('112'!$M$9,G152,1)),"",IF((AND(FIND('112'!$M$9,G152,1)&gt;=1,$B152&gt;='112'!$N$8,$B152&lt;='112'!$O$8,OR($L152='112'!$I$6,$M152='112'!$I$6))),"x",""))</f>
        <v/>
      </c>
      <c r="S152" s="50" t="str">
        <f>IF(ISERROR(FIND('112'!$M$9,G152,1)),"",IF((AND(LEFT(G152,2)=LEFT('112'!$M$9,2),B152&lt;'112'!$N$8,$L152='112'!$I$6)),"x",""))</f>
        <v/>
      </c>
      <c r="T152" s="50" t="str">
        <f>IF(ISERROR(FIND('112'!$M$9,G152,1)),"",IF((AND(RIGHT(G152,2)=RIGHT('112'!$M$9,2),B152&lt;'112'!$N$8,$M152='112'!$I$6)),"x",""))</f>
        <v/>
      </c>
      <c r="U152" s="50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0" t="str">
        <f>IF(OR(TH!L152=TH!$V$7,M152=TH!$V$7),"x","")</f>
        <v/>
      </c>
      <c r="W152" s="50" t="str">
        <f>IF(AND(B152&gt;='IN-NX'!$P$3,B152&lt;='IN-NX'!$Q$3,'IN-NX'!$D$7=D152,OR(LEFT(L152,2)="15",AND(LEFT(M152,2)&lt;&gt;"15",LEFT(M152,2)&lt;&gt;"33"))),"x","")</f>
        <v/>
      </c>
      <c r="X152" s="50" t="str">
        <f>IF(AND(OR(LEFT(TH!L152,2)="15",LEFT(TH!M152,2)="15"),'152-CT'!$J$8=TH!F152),"x","")</f>
        <v/>
      </c>
      <c r="Y152" s="50" t="str">
        <f>IF(AND(OR(LEFT(TH!L152,2)="15",LEFT(TH!M152,2)="15"),TK!$E$7=TH!F152),"x","")</f>
        <v/>
      </c>
      <c r="Z152" s="50" t="str">
        <f>IF(AND(B152&lt;=NKC!$N$8,B152&gt;=NKC!$M$8),"x","")</f>
        <v/>
      </c>
      <c r="AA152" s="845"/>
      <c r="AC152" s="201"/>
    </row>
    <row r="153" spans="1:30" s="581" customFormat="1" ht="15.75" customHeight="1">
      <c r="A153" s="846" t="str">
        <f>IF(B153&lt;&gt;"",IF(AND(B153&gt;=_TM1,B153&lt;=_TM2,OR(TH!L153="1111",TH!M153="1111")),TH!D153,""),"")</f>
        <v/>
      </c>
      <c r="B153" s="36">
        <f>IF(C153&lt;&gt;"",MONTH(C153),"")</f>
        <v>12</v>
      </c>
      <c r="C153" s="187">
        <f>E153</f>
        <v>41273</v>
      </c>
      <c r="D153" s="180" t="s">
        <v>774</v>
      </c>
      <c r="E153" s="180">
        <v>41273</v>
      </c>
      <c r="F153" s="185" t="s">
        <v>634</v>
      </c>
      <c r="G153" s="854" t="s">
        <v>706</v>
      </c>
      <c r="H153" s="7" t="s">
        <v>632</v>
      </c>
      <c r="I153" s="249"/>
      <c r="J153" s="249"/>
      <c r="K153" s="37">
        <v>1619740</v>
      </c>
      <c r="L153" s="190" t="s">
        <v>9</v>
      </c>
      <c r="M153" s="190" t="s">
        <v>8</v>
      </c>
      <c r="N153" s="50" t="str">
        <f>IF(AND('331-CT'!$E$7=TH!H153,OR(L153="331",M153="331")),"331",IF(AND(OR(L153="131",M153="131"),H153='131-CT'!$E$7),"131",""))</f>
        <v>331</v>
      </c>
      <c r="O153" s="50" t="str">
        <f>IF(AND($B153&gt;='111'!$N$11,$B153&lt;='111'!$O$11,OR($L153=$O$7,$M153=$O$7)),"x","")</f>
        <v/>
      </c>
      <c r="P153" s="50" t="str">
        <f>IF(AND($L153=$O$7,$B153&lt;'111'!$N$11),"x","")</f>
        <v/>
      </c>
      <c r="Q153" s="50" t="str">
        <f>IF(AND($M153=$O$7,$B153&lt;'111'!$N$11),"x","")</f>
        <v/>
      </c>
      <c r="R153" s="50" t="str">
        <f>IF(ISERROR(FIND('112'!$M$9,G153,1)),"",IF((AND(FIND('112'!$M$9,G153,1)&gt;=1,$B153&gt;='112'!$N$8,$B153&lt;='112'!$O$8,OR($L153='112'!$I$6,$M153='112'!$I$6))),"x",""))</f>
        <v/>
      </c>
      <c r="S153" s="50" t="str">
        <f>IF(ISERROR(FIND('112'!$M$9,G153,1)),"",IF((AND(LEFT(G153,2)=LEFT('112'!$M$9,2),B153&lt;'112'!$N$8,$L153='112'!$I$6)),"x",""))</f>
        <v/>
      </c>
      <c r="T153" s="50" t="str">
        <f>IF(ISERROR(FIND('112'!$M$9,G153,1)),"",IF((AND(RIGHT(G153,2)=RIGHT('112'!$M$9,2),B153&lt;'112'!$N$8,$M153='112'!$I$6)),"x",""))</f>
        <v/>
      </c>
      <c r="U153" s="50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0" t="str">
        <f>IF(OR(TH!L153=TH!$V$7,M153=TH!$V$7),"x","")</f>
        <v/>
      </c>
      <c r="W153" s="50" t="str">
        <f>IF(AND(B153&gt;='IN-NX'!$P$3,B153&lt;='IN-NX'!$Q$3,'IN-NX'!$D$7=D153,OR(LEFT(L153,2)="15",AND(LEFT(M153,2)&lt;&gt;"15",LEFT(M153,2)&lt;&gt;"33"))),"x","")</f>
        <v/>
      </c>
      <c r="X153" s="50" t="str">
        <f>IF(AND(OR(LEFT(TH!L153,2)="15",LEFT(TH!M153,2)="15"),'152-CT'!$J$8=TH!F153),"x","")</f>
        <v/>
      </c>
      <c r="Y153" s="50" t="str">
        <f>IF(AND(OR(LEFT(TH!L153,2)="15",LEFT(TH!M153,2)="15"),TK!$E$7=TH!F153),"x","")</f>
        <v/>
      </c>
      <c r="Z153" s="50" t="str">
        <f>IF(AND(B153&lt;=NKC!$N$8,B153&gt;=NKC!$M$8),"x","")</f>
        <v/>
      </c>
      <c r="AA153" s="845"/>
    </row>
    <row r="154" spans="1:30" s="581" customFormat="1" ht="15.75" customHeight="1">
      <c r="A154" s="846" t="str">
        <f>IF(B154&lt;&gt;"",IF(AND(B154&gt;=_TM1,B154&lt;=_TM2,OR(TH!L154="1111",TH!M154="1111")),TH!D154,""),"")</f>
        <v>C30</v>
      </c>
      <c r="B154" s="36">
        <f>IF(C154&lt;&gt;"",MONTH(C154),"")</f>
        <v>12</v>
      </c>
      <c r="C154" s="187">
        <f>E154</f>
        <v>41273</v>
      </c>
      <c r="D154" s="187" t="s">
        <v>773</v>
      </c>
      <c r="E154" s="180">
        <v>41273</v>
      </c>
      <c r="F154" s="185" t="s">
        <v>730</v>
      </c>
      <c r="G154" s="854" t="s">
        <v>706</v>
      </c>
      <c r="H154" s="7" t="s">
        <v>632</v>
      </c>
      <c r="I154" s="249"/>
      <c r="J154" s="249"/>
      <c r="K154" s="37">
        <v>17817140</v>
      </c>
      <c r="L154" s="190" t="s">
        <v>8</v>
      </c>
      <c r="M154" s="190" t="s">
        <v>47</v>
      </c>
      <c r="N154" s="50" t="str">
        <f>IF(AND('331-CT'!$E$7=TH!H154,OR(L154="331",M154="331")),"331",IF(AND(OR(L154="131",M154="131"),H154='131-CT'!$E$7),"131",""))</f>
        <v>331</v>
      </c>
      <c r="O154" s="50" t="str">
        <f>IF(AND($B154&gt;='111'!$N$11,$B154&lt;='111'!$O$11,OR($L154=$O$7,$M154=$O$7)),"x","")</f>
        <v>x</v>
      </c>
      <c r="P154" s="50" t="str">
        <f>IF(AND($L154=$O$7,$B154&lt;'111'!$N$11),"x","")</f>
        <v/>
      </c>
      <c r="Q154" s="50" t="str">
        <f>IF(AND($M154=$O$7,$B154&lt;'111'!$N$11),"x","")</f>
        <v/>
      </c>
      <c r="R154" s="50" t="str">
        <f>IF(ISERROR(FIND('112'!$M$9,G154,1)),"",IF((AND(FIND('112'!$M$9,G154,1)&gt;=1,$B154&gt;='112'!$N$8,$B154&lt;='112'!$O$8,OR($L154='112'!$I$6,$M154='112'!$I$6))),"x",""))</f>
        <v/>
      </c>
      <c r="S154" s="50" t="str">
        <f>IF(ISERROR(FIND('112'!$M$9,G154,1)),"",IF((AND(LEFT(G154,2)=LEFT('112'!$M$9,2),B154&lt;'112'!$N$8,$L154='112'!$I$6)),"x",""))</f>
        <v/>
      </c>
      <c r="T154" s="50" t="str">
        <f>IF(ISERROR(FIND('112'!$M$9,G154,1)),"",IF((AND(RIGHT(G154,2)=RIGHT('112'!$M$9,2),B154&lt;'112'!$N$8,$M154='112'!$I$6)),"x",""))</f>
        <v/>
      </c>
      <c r="U154" s="50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0" t="str">
        <f>IF(OR(TH!L154=TH!$V$7,M154=TH!$V$7),"x","")</f>
        <v/>
      </c>
      <c r="W154" s="50" t="str">
        <f>IF(AND(B154&gt;='IN-NX'!$P$3,B154&lt;='IN-NX'!$Q$3,'IN-NX'!$D$7=D154,OR(LEFT(L154,2)="15",AND(LEFT(M154,2)&lt;&gt;"15",LEFT(M154,2)&lt;&gt;"33"))),"x","")</f>
        <v/>
      </c>
      <c r="X154" s="50" t="str">
        <f>IF(AND(OR(LEFT(TH!L154,2)="15",LEFT(TH!M154,2)="15"),'152-CT'!$J$8=TH!F154),"x","")</f>
        <v/>
      </c>
      <c r="Y154" s="50" t="str">
        <f>IF(AND(OR(LEFT(TH!L154,2)="15",LEFT(TH!M154,2)="15"),TK!$E$7=TH!F154),"x","")</f>
        <v/>
      </c>
      <c r="Z154" s="50" t="str">
        <f>IF(AND(B154&lt;=NKC!$N$8,B154&gt;=NKC!$M$8),"x","")</f>
        <v/>
      </c>
      <c r="AA154" s="845"/>
      <c r="AC154" s="201"/>
      <c r="AD154" s="201"/>
    </row>
    <row r="155" spans="1:30" s="201" customFormat="1" ht="15.75" customHeight="1">
      <c r="A155" s="846" t="str">
        <f>IF(B155&lt;&gt;"",IF(AND(B155&gt;=_TM1,B155&lt;=_TM2,OR(TH!L155="1111",TH!M155="1111")),TH!D155,""),"")</f>
        <v/>
      </c>
      <c r="B155" s="36">
        <f>IF(C155&lt;&gt;"",MONTH(C155),"")</f>
        <v>12</v>
      </c>
      <c r="C155" s="187">
        <f>E155</f>
        <v>41274</v>
      </c>
      <c r="D155" s="180" t="s">
        <v>715</v>
      </c>
      <c r="E155" s="180">
        <v>41274</v>
      </c>
      <c r="F155" s="185" t="s">
        <v>723</v>
      </c>
      <c r="G155" s="853" t="s">
        <v>616</v>
      </c>
      <c r="H155" s="189"/>
      <c r="I155" s="249"/>
      <c r="J155" s="249"/>
      <c r="K155" s="589">
        <v>7199</v>
      </c>
      <c r="L155" s="590" t="s">
        <v>24</v>
      </c>
      <c r="M155" s="590" t="s">
        <v>40</v>
      </c>
      <c r="N155" s="50" t="str">
        <f>IF(AND('331-CT'!$E$7=TH!H155,OR(L155="331",M155="331")),"331",IF(AND(OR(L155="131",M155="131"),H155='131-CT'!$E$7),"131",""))</f>
        <v/>
      </c>
      <c r="O155" s="50" t="str">
        <f>IF(AND($B155&gt;='111'!$N$11,$B155&lt;='111'!$O$11,OR($L155=$O$7,$M155=$O$7)),"x","")</f>
        <v/>
      </c>
      <c r="P155" s="50" t="str">
        <f>IF(AND($L155=$O$7,$B155&lt;'111'!$N$11),"x","")</f>
        <v/>
      </c>
      <c r="Q155" s="50" t="str">
        <f>IF(AND($M155=$O$7,$B155&lt;'111'!$N$11),"x","")</f>
        <v/>
      </c>
      <c r="R155" s="50" t="str">
        <f>IF(ISERROR(FIND('112'!$M$9,G155,1)),"",IF((AND(FIND('112'!$M$9,G155,1)&gt;=1,$B155&gt;='112'!$N$8,$B155&lt;='112'!$O$8,OR($L155='112'!$I$6,$M155='112'!$I$6))),"x",""))</f>
        <v>x</v>
      </c>
      <c r="S155" s="50" t="str">
        <f>IF(ISERROR(FIND('112'!$M$9,G155,1)),"",IF((AND(LEFT(G155,2)=LEFT('112'!$M$9,2),B155&lt;'112'!$N$8,$L155='112'!$I$6)),"x",""))</f>
        <v/>
      </c>
      <c r="T155" s="50" t="str">
        <f>IF(ISERROR(FIND('112'!$M$9,G155,1)),"",IF((AND(RIGHT(G155,2)=RIGHT('112'!$M$9,2),B155&lt;'112'!$N$8,$M155='112'!$I$6)),"x",""))</f>
        <v/>
      </c>
      <c r="U155" s="50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0" t="str">
        <f>IF(OR(TH!L155=TH!$V$7,M155=TH!$V$7),"x","")</f>
        <v/>
      </c>
      <c r="W155" s="50" t="str">
        <f>IF(AND(B155&gt;='IN-NX'!$P$3,B155&lt;='IN-NX'!$Q$3,'IN-NX'!$D$7=D155,OR(LEFT(L155,2)="15",AND(LEFT(M155,2)&lt;&gt;"15",LEFT(M155,2)&lt;&gt;"33"))),"x","")</f>
        <v/>
      </c>
      <c r="X155" s="50" t="str">
        <f>IF(AND(OR(LEFT(TH!L155,2)="15",LEFT(TH!M155,2)="15"),'152-CT'!$J$8=TH!F155),"x","")</f>
        <v/>
      </c>
      <c r="Y155" s="50" t="str">
        <f>IF(AND(OR(LEFT(TH!L155,2)="15",LEFT(TH!M155,2)="15"),TK!$E$7=TH!F155),"x","")</f>
        <v/>
      </c>
      <c r="Z155" s="50" t="str">
        <f>IF(AND(B155&lt;=NKC!$N$8,B155&gt;=NKC!$M$8),"x","")</f>
        <v/>
      </c>
      <c r="AA155" s="845"/>
      <c r="AB155" s="581"/>
      <c r="AC155" s="581"/>
      <c r="AD155" s="581"/>
    </row>
    <row r="156" spans="1:30" s="581" customFormat="1" ht="15.75" customHeight="1">
      <c r="A156" s="846" t="str">
        <f>IF(B156&lt;&gt;"",IF(AND(B156&gt;=_TM1,B156&lt;=_TM2,OR(TH!L156="1111",TH!M156="1111")),TH!D156,""),"")</f>
        <v/>
      </c>
      <c r="B156" s="36">
        <f>IF(C156&lt;&gt;"",MONTH(C156),"")</f>
        <v>12</v>
      </c>
      <c r="C156" s="187">
        <f>E156</f>
        <v>41274</v>
      </c>
      <c r="D156" s="180" t="s">
        <v>729</v>
      </c>
      <c r="E156" s="180">
        <v>41274</v>
      </c>
      <c r="F156" s="185" t="s">
        <v>717</v>
      </c>
      <c r="G156" s="853" t="s">
        <v>616</v>
      </c>
      <c r="H156" s="189"/>
      <c r="I156" s="249"/>
      <c r="J156" s="249"/>
      <c r="K156" s="589">
        <v>11000</v>
      </c>
      <c r="L156" s="590" t="s">
        <v>83</v>
      </c>
      <c r="M156" s="590" t="s">
        <v>24</v>
      </c>
      <c r="N156" s="50" t="str">
        <f>IF(AND('331-CT'!$E$7=TH!H156,OR(L156="331",M156="331")),"331",IF(AND(OR(L156="131",M156="131"),H156='131-CT'!$E$7),"131",""))</f>
        <v/>
      </c>
      <c r="O156" s="50" t="str">
        <f>IF(AND($B156&gt;='111'!$N$11,$B156&lt;='111'!$O$11,OR($L156=$O$7,$M156=$O$7)),"x","")</f>
        <v/>
      </c>
      <c r="P156" s="50" t="str">
        <f>IF(AND($L156=$O$7,$B156&lt;'111'!$N$11),"x","")</f>
        <v/>
      </c>
      <c r="Q156" s="50" t="str">
        <f>IF(AND($M156=$O$7,$B156&lt;'111'!$N$11),"x","")</f>
        <v/>
      </c>
      <c r="R156" s="50" t="str">
        <f>IF(ISERROR(FIND('112'!$M$9,G156,1)),"",IF((AND(FIND('112'!$M$9,G156,1)&gt;=1,$B156&gt;='112'!$N$8,$B156&lt;='112'!$O$8,OR($L156='112'!$I$6,$M156='112'!$I$6))),"x",""))</f>
        <v>x</v>
      </c>
      <c r="S156" s="50" t="str">
        <f>IF(ISERROR(FIND('112'!$M$9,G156,1)),"",IF((AND(LEFT(G156,2)=LEFT('112'!$M$9,2),B156&lt;'112'!$N$8,$L156='112'!$I$6)),"x",""))</f>
        <v/>
      </c>
      <c r="T156" s="50" t="str">
        <f>IF(ISERROR(FIND('112'!$M$9,G156,1)),"",IF((AND(RIGHT(G156,2)=RIGHT('112'!$M$9,2),B156&lt;'112'!$N$8,$M156='112'!$I$6)),"x",""))</f>
        <v/>
      </c>
      <c r="U156" s="50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0" t="str">
        <f>IF(OR(TH!L156=TH!$V$7,M156=TH!$V$7),"x","")</f>
        <v>x</v>
      </c>
      <c r="W156" s="50" t="str">
        <f>IF(AND(B156&gt;='IN-NX'!$P$3,B156&lt;='IN-NX'!$Q$3,'IN-NX'!$D$7=D156,OR(LEFT(L156,2)="15",AND(LEFT(M156,2)&lt;&gt;"15",LEFT(M156,2)&lt;&gt;"33"))),"x","")</f>
        <v/>
      </c>
      <c r="X156" s="50" t="str">
        <f>IF(AND(OR(LEFT(TH!L156,2)="15",LEFT(TH!M156,2)="15"),'152-CT'!$J$8=TH!F156),"x","")</f>
        <v/>
      </c>
      <c r="Y156" s="50" t="str">
        <f>IF(AND(OR(LEFT(TH!L156,2)="15",LEFT(TH!M156,2)="15"),TK!$E$7=TH!F156),"x","")</f>
        <v/>
      </c>
      <c r="Z156" s="50" t="str">
        <f>IF(AND(B156&lt;=NKC!$N$8,B156&gt;=NKC!$M$8),"x","")</f>
        <v/>
      </c>
      <c r="AA156" s="845"/>
    </row>
    <row r="157" spans="1:30" s="581" customFormat="1" ht="15.75" customHeight="1">
      <c r="A157" s="846" t="str">
        <f>IF(B157&lt;&gt;"",IF(AND(B157&gt;=_TM1,B157&lt;=_TM2,OR(TH!L157="1111",TH!M157="1111")),TH!D157,""),"")</f>
        <v>C31</v>
      </c>
      <c r="B157" s="36">
        <f>IF(C157&lt;&gt;"",MONTH(C157),"")</f>
        <v>12</v>
      </c>
      <c r="C157" s="187">
        <f>E157</f>
        <v>41274</v>
      </c>
      <c r="D157" s="180" t="s">
        <v>775</v>
      </c>
      <c r="E157" s="180">
        <v>41274</v>
      </c>
      <c r="F157" s="185" t="s">
        <v>679</v>
      </c>
      <c r="G157" s="854" t="s">
        <v>604</v>
      </c>
      <c r="H157" s="189" t="s">
        <v>705</v>
      </c>
      <c r="I157" s="249"/>
      <c r="J157" s="249"/>
      <c r="K157" s="589">
        <v>3000000</v>
      </c>
      <c r="L157" s="190" t="s">
        <v>83</v>
      </c>
      <c r="M157" s="190" t="s">
        <v>47</v>
      </c>
      <c r="N157" s="50" t="str">
        <f>IF(AND('331-CT'!$E$7=TH!H157,OR(L157="331",M157="331")),"331",IF(AND(OR(L157="131",M157="131"),H157='131-CT'!$E$7),"131",""))</f>
        <v/>
      </c>
      <c r="O157" s="50" t="str">
        <f>IF(AND($B157&gt;='111'!$N$11,$B157&lt;='111'!$O$11,OR($L157=$O$7,$M157=$O$7)),"x","")</f>
        <v>x</v>
      </c>
      <c r="P157" s="50" t="str">
        <f>IF(AND($L157=$O$7,$B157&lt;'111'!$N$11),"x","")</f>
        <v/>
      </c>
      <c r="Q157" s="50" t="str">
        <f>IF(AND($M157=$O$7,$B157&lt;'111'!$N$11),"x","")</f>
        <v/>
      </c>
      <c r="R157" s="50" t="str">
        <f>IF(ISERROR(FIND('112'!$M$9,G157,1)),"",IF((AND(FIND('112'!$M$9,G157,1)&gt;=1,$B157&gt;='112'!$N$8,$B157&lt;='112'!$O$8,OR($L157='112'!$I$6,$M157='112'!$I$6))),"x",""))</f>
        <v/>
      </c>
      <c r="S157" s="50" t="str">
        <f>IF(ISERROR(FIND('112'!$M$9,G157,1)),"",IF((AND(LEFT(G157,2)=LEFT('112'!$M$9,2),B157&lt;'112'!$N$8,$L157='112'!$I$6)),"x",""))</f>
        <v/>
      </c>
      <c r="T157" s="50" t="str">
        <f>IF(ISERROR(FIND('112'!$M$9,G157,1)),"",IF((AND(RIGHT(G157,2)=RIGHT('112'!$M$9,2),B157&lt;'112'!$N$8,$M157='112'!$I$6)),"x",""))</f>
        <v/>
      </c>
      <c r="U157" s="50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0" t="str">
        <f>IF(OR(TH!L157=TH!$V$7,M157=TH!$V$7),"x","")</f>
        <v>x</v>
      </c>
      <c r="W157" s="50" t="str">
        <f>IF(AND(B157&gt;='IN-NX'!$P$3,B157&lt;='IN-NX'!$Q$3,'IN-NX'!$D$7=D157,OR(LEFT(L157,2)="15",AND(LEFT(M157,2)&lt;&gt;"15",LEFT(M157,2)&lt;&gt;"33"))),"x","")</f>
        <v/>
      </c>
      <c r="X157" s="50" t="str">
        <f>IF(AND(OR(LEFT(TH!L157,2)="15",LEFT(TH!M157,2)="15"),'152-CT'!$J$8=TH!F157),"x","")</f>
        <v/>
      </c>
      <c r="Y157" s="50" t="str">
        <f>IF(AND(OR(LEFT(TH!L157,2)="15",LEFT(TH!M157,2)="15"),TK!$E$7=TH!F157),"x","")</f>
        <v/>
      </c>
      <c r="Z157" s="50" t="str">
        <f>IF(AND(B157&lt;=NKC!$N$8,B157&gt;=NKC!$M$8),"x","")</f>
        <v/>
      </c>
      <c r="AA157" s="845"/>
      <c r="AC157" s="201"/>
    </row>
    <row r="158" spans="1:30" s="581" customFormat="1" ht="15.75" customHeight="1">
      <c r="A158" s="846" t="str">
        <f>IF(B158&lt;&gt;"",IF(AND(B158&gt;=_TM1,B158&lt;=_TM2,OR(TH!L158="1111",TH!M158="1111")),TH!D158,""),"")</f>
        <v>C31</v>
      </c>
      <c r="B158" s="36">
        <f>IF(C158&lt;&gt;"",MONTH(C158),"")</f>
        <v>12</v>
      </c>
      <c r="C158" s="187">
        <f>E158</f>
        <v>41274</v>
      </c>
      <c r="D158" s="180" t="s">
        <v>775</v>
      </c>
      <c r="E158" s="180">
        <v>41274</v>
      </c>
      <c r="F158" s="185" t="s">
        <v>680</v>
      </c>
      <c r="G158" s="854" t="s">
        <v>604</v>
      </c>
      <c r="H158" s="189" t="s">
        <v>705</v>
      </c>
      <c r="I158" s="249"/>
      <c r="J158" s="249"/>
      <c r="K158" s="589">
        <v>300000</v>
      </c>
      <c r="L158" s="190" t="s">
        <v>9</v>
      </c>
      <c r="M158" s="190" t="s">
        <v>47</v>
      </c>
      <c r="N158" s="50" t="str">
        <f>IF(AND('331-CT'!$E$7=TH!H158,OR(L158="331",M158="331")),"331",IF(AND(OR(L158="131",M158="131"),H158='131-CT'!$E$7),"131",""))</f>
        <v/>
      </c>
      <c r="O158" s="50" t="str">
        <f>IF(AND($B158&gt;='111'!$N$11,$B158&lt;='111'!$O$11,OR($L158=$O$7,$M158=$O$7)),"x","")</f>
        <v>x</v>
      </c>
      <c r="P158" s="50" t="str">
        <f>IF(AND($L158=$O$7,$B158&lt;'111'!$N$11),"x","")</f>
        <v/>
      </c>
      <c r="Q158" s="50" t="str">
        <f>IF(AND($M158=$O$7,$B158&lt;'111'!$N$11),"x","")</f>
        <v/>
      </c>
      <c r="R158" s="50" t="str">
        <f>IF(ISERROR(FIND('112'!$M$9,G158,1)),"",IF((AND(FIND('112'!$M$9,G158,1)&gt;=1,$B158&gt;='112'!$N$8,$B158&lt;='112'!$O$8,OR($L158='112'!$I$6,$M158='112'!$I$6))),"x",""))</f>
        <v/>
      </c>
      <c r="S158" s="50" t="str">
        <f>IF(ISERROR(FIND('112'!$M$9,G158,1)),"",IF((AND(LEFT(G158,2)=LEFT('112'!$M$9,2),B158&lt;'112'!$N$8,$L158='112'!$I$6)),"x",""))</f>
        <v/>
      </c>
      <c r="T158" s="50" t="str">
        <f>IF(ISERROR(FIND('112'!$M$9,G158,1)),"",IF((AND(RIGHT(G158,2)=RIGHT('112'!$M$9,2),B158&lt;'112'!$N$8,$M158='112'!$I$6)),"x",""))</f>
        <v/>
      </c>
      <c r="U158" s="50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0" t="str">
        <f>IF(OR(TH!L158=TH!$V$7,M158=TH!$V$7),"x","")</f>
        <v/>
      </c>
      <c r="W158" s="50" t="str">
        <f>IF(AND(B158&gt;='IN-NX'!$P$3,B158&lt;='IN-NX'!$Q$3,'IN-NX'!$D$7=D158,OR(LEFT(L158,2)="15",AND(LEFT(M158,2)&lt;&gt;"15",LEFT(M158,2)&lt;&gt;"33"))),"x","")</f>
        <v/>
      </c>
      <c r="X158" s="50" t="str">
        <f>IF(AND(OR(LEFT(TH!L158,2)="15",LEFT(TH!M158,2)="15"),'152-CT'!$J$8=TH!F158),"x","")</f>
        <v/>
      </c>
      <c r="Y158" s="50" t="str">
        <f>IF(AND(OR(LEFT(TH!L158,2)="15",LEFT(TH!M158,2)="15"),TK!$E$7=TH!F158),"x","")</f>
        <v/>
      </c>
      <c r="Z158" s="50" t="str">
        <f>IF(AND(B158&lt;=NKC!$N$8,B158&gt;=NKC!$M$8),"x","")</f>
        <v/>
      </c>
      <c r="AA158" s="845"/>
    </row>
    <row r="159" spans="1:30" s="201" customFormat="1" ht="15.75" customHeight="1">
      <c r="A159" s="846" t="str">
        <f>IF(B159&lt;&gt;"",IF(AND(B159&gt;=_TM1,B159&lt;=_TM2,OR(TH!L159="1111",TH!M159="1111")),TH!D159,""),"")</f>
        <v>C32</v>
      </c>
      <c r="B159" s="36">
        <f>IF(C159&lt;&gt;"",MONTH(C159),"")</f>
        <v>12</v>
      </c>
      <c r="C159" s="187">
        <f>E159</f>
        <v>41274</v>
      </c>
      <c r="D159" s="180" t="s">
        <v>776</v>
      </c>
      <c r="E159" s="180">
        <v>41274</v>
      </c>
      <c r="F159" s="185" t="s">
        <v>451</v>
      </c>
      <c r="G159" s="854" t="s">
        <v>711</v>
      </c>
      <c r="H159" s="189" t="s">
        <v>662</v>
      </c>
      <c r="I159" s="249"/>
      <c r="J159" s="249"/>
      <c r="K159" s="589">
        <v>1137500</v>
      </c>
      <c r="L159" s="590" t="s">
        <v>167</v>
      </c>
      <c r="M159" s="590" t="s">
        <v>47</v>
      </c>
      <c r="N159" s="50" t="str">
        <f>IF(AND('331-CT'!$E$7=TH!H159,OR(L159="331",M159="331")),"331",IF(AND(OR(L159="131",M159="131"),H159='131-CT'!$E$7),"131",""))</f>
        <v/>
      </c>
      <c r="O159" s="50" t="str">
        <f>IF(AND($B159&gt;='111'!$N$11,$B159&lt;='111'!$O$11,OR($L159=$O$7,$M159=$O$7)),"x","")</f>
        <v>x</v>
      </c>
      <c r="P159" s="50" t="str">
        <f>IF(AND($L159=$O$7,$B159&lt;'111'!$N$11),"x","")</f>
        <v/>
      </c>
      <c r="Q159" s="50" t="str">
        <f>IF(AND($M159=$O$7,$B159&lt;'111'!$N$11),"x","")</f>
        <v/>
      </c>
      <c r="R159" s="50" t="str">
        <f>IF(ISERROR(FIND('112'!$M$9,G159,1)),"",IF((AND(FIND('112'!$M$9,G159,1)&gt;=1,$B159&gt;='112'!$N$8,$B159&lt;='112'!$O$8,OR($L159='112'!$I$6,$M159='112'!$I$6))),"x",""))</f>
        <v/>
      </c>
      <c r="S159" s="50" t="str">
        <f>IF(ISERROR(FIND('112'!$M$9,G159,1)),"",IF((AND(LEFT(G159,2)=LEFT('112'!$M$9,2),B159&lt;'112'!$N$8,$L159='112'!$I$6)),"x",""))</f>
        <v/>
      </c>
      <c r="T159" s="50" t="str">
        <f>IF(ISERROR(FIND('112'!$M$9,G159,1)),"",IF((AND(RIGHT(G159,2)=RIGHT('112'!$M$9,2),B159&lt;'112'!$N$8,$M159='112'!$I$6)),"x",""))</f>
        <v/>
      </c>
      <c r="U159" s="50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0" t="str">
        <f>IF(OR(TH!L159=TH!$V$7,M159=TH!$V$7),"x","")</f>
        <v/>
      </c>
      <c r="W159" s="50" t="str">
        <f>IF(AND(B159&gt;='IN-NX'!$P$3,B159&lt;='IN-NX'!$Q$3,'IN-NX'!$D$7=D159,OR(LEFT(L159,2)="15",AND(LEFT(M159,2)&lt;&gt;"15",LEFT(M159,2)&lt;&gt;"33"))),"x","")</f>
        <v/>
      </c>
      <c r="X159" s="50" t="str">
        <f>IF(AND(OR(LEFT(TH!L159,2)="15",LEFT(TH!M159,2)="15"),'152-CT'!$J$8=TH!F159),"x","")</f>
        <v/>
      </c>
      <c r="Y159" s="50" t="str">
        <f>IF(AND(OR(LEFT(TH!L159,2)="15",LEFT(TH!M159,2)="15"),TK!$E$7=TH!F159),"x","")</f>
        <v/>
      </c>
      <c r="Z159" s="50" t="str">
        <f>IF(AND(B159&lt;=NKC!$N$8,B159&gt;=NKC!$M$8),"x","")</f>
        <v/>
      </c>
      <c r="AA159" s="845"/>
      <c r="AB159" s="581"/>
      <c r="AD159" s="581"/>
    </row>
    <row r="160" spans="1:30" s="581" customFormat="1" ht="15.75" customHeight="1">
      <c r="A160" s="846" t="str">
        <f>IF(B160&lt;&gt;"",IF(AND(B160&gt;=_TM1,B160&lt;=_TM2,OR(TH!L160="1111",TH!M160="1111")),TH!D160,""),"")</f>
        <v>C33</v>
      </c>
      <c r="B160" s="36">
        <f>IF(C160&lt;&gt;"",MONTH(C160),"")</f>
        <v>12</v>
      </c>
      <c r="C160" s="187">
        <f>E160</f>
        <v>42368</v>
      </c>
      <c r="D160" s="180" t="s">
        <v>777</v>
      </c>
      <c r="E160" s="180">
        <v>42368</v>
      </c>
      <c r="F160" s="185" t="s">
        <v>605</v>
      </c>
      <c r="G160" s="854" t="s">
        <v>702</v>
      </c>
      <c r="H160" s="189" t="s">
        <v>701</v>
      </c>
      <c r="I160" s="249"/>
      <c r="J160" s="249"/>
      <c r="K160" s="589">
        <v>2545455</v>
      </c>
      <c r="L160" s="190" t="s">
        <v>83</v>
      </c>
      <c r="M160" s="190" t="s">
        <v>47</v>
      </c>
      <c r="N160" s="50" t="str">
        <f>IF(AND('331-CT'!$E$7=TH!H160,OR(L160="331",M160="331")),"331",IF(AND(OR(L160="131",M160="131"),H160='131-CT'!$E$7),"131",""))</f>
        <v/>
      </c>
      <c r="O160" s="50" t="str">
        <f>IF(AND($B160&gt;='111'!$N$11,$B160&lt;='111'!$O$11,OR($L160=$O$7,$M160=$O$7)),"x","")</f>
        <v>x</v>
      </c>
      <c r="P160" s="50" t="str">
        <f>IF(AND($L160=$O$7,$B160&lt;'111'!$N$11),"x","")</f>
        <v/>
      </c>
      <c r="Q160" s="50" t="str">
        <f>IF(AND($M160=$O$7,$B160&lt;'111'!$N$11),"x","")</f>
        <v/>
      </c>
      <c r="R160" s="50" t="str">
        <f>IF(ISERROR(FIND('112'!$M$9,G160,1)),"",IF((AND(FIND('112'!$M$9,G160,1)&gt;=1,$B160&gt;='112'!$N$8,$B160&lt;='112'!$O$8,OR($L160='112'!$I$6,$M160='112'!$I$6))),"x",""))</f>
        <v/>
      </c>
      <c r="S160" s="50" t="str">
        <f>IF(ISERROR(FIND('112'!$M$9,G160,1)),"",IF((AND(LEFT(G160,2)=LEFT('112'!$M$9,2),B160&lt;'112'!$N$8,$L160='112'!$I$6)),"x",""))</f>
        <v/>
      </c>
      <c r="T160" s="50" t="str">
        <f>IF(ISERROR(FIND('112'!$M$9,G160,1)),"",IF((AND(RIGHT(G160,2)=RIGHT('112'!$M$9,2),B160&lt;'112'!$N$8,$M160='112'!$I$6)),"x",""))</f>
        <v/>
      </c>
      <c r="U160" s="50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0" t="str">
        <f>IF(OR(TH!L160=TH!$V$7,M160=TH!$V$7),"x","")</f>
        <v>x</v>
      </c>
      <c r="W160" s="50" t="str">
        <f>IF(AND(B160&gt;='IN-NX'!$P$3,B160&lt;='IN-NX'!$Q$3,'IN-NX'!$D$7=D160,OR(LEFT(L160,2)="15",AND(LEFT(M160,2)&lt;&gt;"15",LEFT(M160,2)&lt;&gt;"33"))),"x","")</f>
        <v/>
      </c>
      <c r="X160" s="50" t="str">
        <f>IF(AND(OR(LEFT(TH!L160,2)="15",LEFT(TH!M160,2)="15"),'152-CT'!$J$8=TH!F160),"x","")</f>
        <v/>
      </c>
      <c r="Y160" s="50" t="str">
        <f>IF(AND(OR(LEFT(TH!L160,2)="15",LEFT(TH!M160,2)="15"),TK!$E$7=TH!F160),"x","")</f>
        <v/>
      </c>
      <c r="Z160" s="50" t="str">
        <f>IF(AND(B160&lt;=NKC!$N$8,B160&gt;=NKC!$M$8),"x","")</f>
        <v/>
      </c>
      <c r="AA160" s="845"/>
    </row>
    <row r="161" spans="1:30" s="581" customFormat="1" ht="15.75" customHeight="1">
      <c r="A161" s="846" t="str">
        <f>IF(B161&lt;&gt;"",IF(AND(B161&gt;=_TM1,B161&lt;=_TM2,OR(TH!L161="1111",TH!M161="1111")),TH!D161,""),"")</f>
        <v>C33</v>
      </c>
      <c r="B161" s="36">
        <f>IF(C161&lt;&gt;"",MONTH(C161),"")</f>
        <v>12</v>
      </c>
      <c r="C161" s="187">
        <f>E161</f>
        <v>42368</v>
      </c>
      <c r="D161" s="180" t="s">
        <v>777</v>
      </c>
      <c r="E161" s="180">
        <v>42368</v>
      </c>
      <c r="F161" s="185" t="s">
        <v>606</v>
      </c>
      <c r="G161" s="854" t="s">
        <v>702</v>
      </c>
      <c r="H161" s="189" t="s">
        <v>701</v>
      </c>
      <c r="I161" s="249"/>
      <c r="J161" s="249"/>
      <c r="K161" s="589">
        <v>254545</v>
      </c>
      <c r="L161" s="190" t="s">
        <v>9</v>
      </c>
      <c r="M161" s="190" t="s">
        <v>47</v>
      </c>
      <c r="N161" s="50" t="str">
        <f>IF(AND('331-CT'!$E$7=TH!H161,OR(L161="331",M161="331")),"331",IF(AND(OR(L161="131",M161="131"),H161='131-CT'!$E$7),"131",""))</f>
        <v/>
      </c>
      <c r="O161" s="50" t="str">
        <f>IF(AND($B161&gt;='111'!$N$11,$B161&lt;='111'!$O$11,OR($L161=$O$7,$M161=$O$7)),"x","")</f>
        <v>x</v>
      </c>
      <c r="P161" s="50" t="str">
        <f>IF(AND($L161=$O$7,$B161&lt;'111'!$N$11),"x","")</f>
        <v/>
      </c>
      <c r="Q161" s="50" t="str">
        <f>IF(AND($M161=$O$7,$B161&lt;'111'!$N$11),"x","")</f>
        <v/>
      </c>
      <c r="R161" s="50" t="str">
        <f>IF(ISERROR(FIND('112'!$M$9,G161,1)),"",IF((AND(FIND('112'!$M$9,G161,1)&gt;=1,$B161&gt;='112'!$N$8,$B161&lt;='112'!$O$8,OR($L161='112'!$I$6,$M161='112'!$I$6))),"x",""))</f>
        <v/>
      </c>
      <c r="S161" s="50" t="str">
        <f>IF(ISERROR(FIND('112'!$M$9,G161,1)),"",IF((AND(LEFT(G161,2)=LEFT('112'!$M$9,2),B161&lt;'112'!$N$8,$L161='112'!$I$6)),"x",""))</f>
        <v/>
      </c>
      <c r="T161" s="50" t="str">
        <f>IF(ISERROR(FIND('112'!$M$9,G161,1)),"",IF((AND(RIGHT(G161,2)=RIGHT('112'!$M$9,2),B161&lt;'112'!$N$8,$M161='112'!$I$6)),"x",""))</f>
        <v/>
      </c>
      <c r="U161" s="50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0" t="str">
        <f>IF(OR(TH!L161=TH!$V$7,M161=TH!$V$7),"x","")</f>
        <v/>
      </c>
      <c r="W161" s="50" t="str">
        <f>IF(AND(B161&gt;='IN-NX'!$P$3,B161&lt;='IN-NX'!$Q$3,'IN-NX'!$D$7=D161,OR(LEFT(L161,2)="15",AND(LEFT(M161,2)&lt;&gt;"15",LEFT(M161,2)&lt;&gt;"33"))),"x","")</f>
        <v/>
      </c>
      <c r="X161" s="50" t="str">
        <f>IF(AND(OR(LEFT(TH!L161,2)="15",LEFT(TH!M161,2)="15"),'152-CT'!$J$8=TH!F161),"x","")</f>
        <v/>
      </c>
      <c r="Y161" s="50" t="str">
        <f>IF(AND(OR(LEFT(TH!L161,2)="15",LEFT(TH!M161,2)="15"),TK!$E$7=TH!F161),"x","")</f>
        <v/>
      </c>
      <c r="Z161" s="50" t="str">
        <f>IF(AND(B161&lt;=NKC!$N$8,B161&gt;=NKC!$M$8),"x","")</f>
        <v/>
      </c>
      <c r="AA161" s="845"/>
    </row>
    <row r="162" spans="1:30" s="581" customFormat="1" ht="15.75" customHeight="1">
      <c r="A162" s="846" t="str">
        <f>IF(B162&lt;&gt;"",IF(AND(B162&gt;=_TM1,B162&lt;=_TM2,OR(TH!L162="1111",TH!M162="1111")),TH!D162,""),"")</f>
        <v/>
      </c>
      <c r="B162" s="36" t="str">
        <f t="shared" ref="B134:B177" si="5">IF(C162&lt;&gt;"",MONTH(C162),"")</f>
        <v/>
      </c>
      <c r="C162" s="187"/>
      <c r="D162" s="180"/>
      <c r="E162" s="180"/>
      <c r="F162" s="185"/>
      <c r="G162" s="853"/>
      <c r="H162" s="189"/>
      <c r="I162" s="249"/>
      <c r="J162" s="249"/>
      <c r="K162" s="589"/>
      <c r="L162" s="590"/>
      <c r="M162" s="590"/>
      <c r="N162" s="50" t="str">
        <f>IF(AND('331-CT'!$E$7=TH!H162,OR(L162="331",M162="331")),"331",IF(AND(OR(L162="131",M162="131"),H162='131-CT'!$E$7),"131",""))</f>
        <v/>
      </c>
      <c r="O162" s="50" t="str">
        <f>IF(AND($B162&gt;='111'!$N$11,$B162&lt;='111'!$O$11,OR($L162=$O$7,$M162=$O$7)),"x","")</f>
        <v/>
      </c>
      <c r="P162" s="50" t="str">
        <f>IF(AND($L162=$O$7,$B162&lt;'111'!$N$11),"x","")</f>
        <v/>
      </c>
      <c r="Q162" s="50" t="str">
        <f>IF(AND($M162=$O$7,$B162&lt;'111'!$N$11),"x","")</f>
        <v/>
      </c>
      <c r="R162" s="50" t="str">
        <f>IF(ISERROR(FIND('112'!$M$9,G162,1)),"",IF((AND(FIND('112'!$M$9,G162,1)&gt;=1,$B162&gt;='112'!$N$8,$B162&lt;='112'!$O$8,OR($L162='112'!$I$6,$M162='112'!$I$6))),"x",""))</f>
        <v/>
      </c>
      <c r="S162" s="50" t="str">
        <f>IF(ISERROR(FIND('112'!$M$9,G162,1)),"",IF((AND(LEFT(G162,2)=LEFT('112'!$M$9,2),B162&lt;'112'!$N$8,$L162='112'!$I$6)),"x",""))</f>
        <v/>
      </c>
      <c r="T162" s="50" t="str">
        <f>IF(ISERROR(FIND('112'!$M$9,G162,1)),"",IF((AND(RIGHT(G162,2)=RIGHT('112'!$M$9,2),B162&lt;'112'!$N$8,$M162='112'!$I$6)),"x",""))</f>
        <v/>
      </c>
      <c r="U162" s="50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0" t="str">
        <f>IF(OR(TH!L162=TH!$V$7,M162=TH!$V$7),"x","")</f>
        <v/>
      </c>
      <c r="W162" s="50" t="str">
        <f>IF(AND(B162&gt;='IN-NX'!$P$3,B162&lt;='IN-NX'!$Q$3,'IN-NX'!$D$7=D162,OR(LEFT(L162,2)="15",AND(LEFT(M162,2)&lt;&gt;"15",LEFT(M162,2)&lt;&gt;"33"))),"x","")</f>
        <v/>
      </c>
      <c r="X162" s="50" t="str">
        <f>IF(AND(OR(LEFT(TH!L162,2)="15",LEFT(TH!M162,2)="15"),'152-CT'!$J$8=TH!F162),"x","")</f>
        <v/>
      </c>
      <c r="Y162" s="50" t="str">
        <f>IF(AND(OR(LEFT(TH!L162,2)="15",LEFT(TH!M162,2)="15"),TK!$E$7=TH!F162),"x","")</f>
        <v/>
      </c>
      <c r="Z162" s="50" t="str">
        <f>IF(AND(B162&lt;=NKC!$N$8,B162&gt;=NKC!$M$8),"x","")</f>
        <v/>
      </c>
      <c r="AA162" s="845"/>
    </row>
    <row r="163" spans="1:30" s="581" customFormat="1" ht="15.75" customHeight="1">
      <c r="A163" s="846" t="str">
        <f>IF(B163&lt;&gt;"",IF(AND(B163&gt;=_TM1,B163&lt;=_TM2,OR(TH!L163="1111",TH!M163="1111")),TH!D163,""),"")</f>
        <v/>
      </c>
      <c r="B163" s="36" t="str">
        <f t="shared" si="5"/>
        <v/>
      </c>
      <c r="C163" s="187"/>
      <c r="D163" s="180"/>
      <c r="E163" s="180"/>
      <c r="F163" s="185"/>
      <c r="G163" s="853"/>
      <c r="H163" s="189"/>
      <c r="I163" s="249"/>
      <c r="J163" s="249"/>
      <c r="K163" s="589"/>
      <c r="L163" s="590"/>
      <c r="M163" s="590"/>
      <c r="N163" s="50" t="str">
        <f>IF(AND('331-CT'!$E$7=TH!H163,OR(L163="331",M163="331")),"331",IF(AND(OR(L163="131",M163="131"),H163='131-CT'!$E$7),"131",""))</f>
        <v/>
      </c>
      <c r="O163" s="50" t="str">
        <f>IF(AND($B163&gt;='111'!$N$11,$B163&lt;='111'!$O$11,OR($L163=$O$7,$M163=$O$7)),"x","")</f>
        <v/>
      </c>
      <c r="P163" s="50" t="str">
        <f>IF(AND($L163=$O$7,$B163&lt;'111'!$N$11),"x","")</f>
        <v/>
      </c>
      <c r="Q163" s="50" t="str">
        <f>IF(AND($M163=$O$7,$B163&lt;'111'!$N$11),"x","")</f>
        <v/>
      </c>
      <c r="R163" s="50" t="str">
        <f>IF(ISERROR(FIND('112'!$M$9,G163,1)),"",IF((AND(FIND('112'!$M$9,G163,1)&gt;=1,$B163&gt;='112'!$N$8,$B163&lt;='112'!$O$8,OR($L163='112'!$I$6,$M163='112'!$I$6))),"x",""))</f>
        <v/>
      </c>
      <c r="S163" s="50" t="str">
        <f>IF(ISERROR(FIND('112'!$M$9,G163,1)),"",IF((AND(LEFT(G163,2)=LEFT('112'!$M$9,2),B163&lt;'112'!$N$8,$L163='112'!$I$6)),"x",""))</f>
        <v/>
      </c>
      <c r="T163" s="50" t="str">
        <f>IF(ISERROR(FIND('112'!$M$9,G163,1)),"",IF((AND(RIGHT(G163,2)=RIGHT('112'!$M$9,2),B163&lt;'112'!$N$8,$M163='112'!$I$6)),"x",""))</f>
        <v/>
      </c>
      <c r="U163" s="50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0" t="str">
        <f>IF(OR(TH!L163=TH!$V$7,M163=TH!$V$7),"x","")</f>
        <v/>
      </c>
      <c r="W163" s="50" t="str">
        <f>IF(AND(B163&gt;='IN-NX'!$P$3,B163&lt;='IN-NX'!$Q$3,'IN-NX'!$D$7=D163,OR(LEFT(L163,2)="15",AND(LEFT(M163,2)&lt;&gt;"15",LEFT(M163,2)&lt;&gt;"33"))),"x","")</f>
        <v/>
      </c>
      <c r="X163" s="50" t="str">
        <f>IF(AND(OR(LEFT(TH!L163,2)="15",LEFT(TH!M163,2)="15"),'152-CT'!$J$8=TH!F163),"x","")</f>
        <v/>
      </c>
      <c r="Y163" s="50" t="str">
        <f>IF(AND(OR(LEFT(TH!L163,2)="15",LEFT(TH!M163,2)="15"),TK!$E$7=TH!F163),"x","")</f>
        <v/>
      </c>
      <c r="Z163" s="50" t="str">
        <f>IF(AND(B163&lt;=NKC!$N$8,B163&gt;=NKC!$M$8),"x","")</f>
        <v/>
      </c>
      <c r="AA163" s="845"/>
    </row>
    <row r="164" spans="1:30" s="581" customFormat="1" ht="15.75" customHeight="1">
      <c r="A164" s="846" t="str">
        <f>IF(B164&lt;&gt;"",IF(AND(B164&gt;=_TM1,B164&lt;=_TM2,OR(TH!L164="1111",TH!M164="1111")),TH!D164,""),"")</f>
        <v/>
      </c>
      <c r="B164" s="36" t="str">
        <f t="shared" si="5"/>
        <v/>
      </c>
      <c r="C164" s="187"/>
      <c r="D164" s="180"/>
      <c r="E164" s="180"/>
      <c r="F164" s="185"/>
      <c r="G164" s="853"/>
      <c r="H164" s="189"/>
      <c r="I164" s="249"/>
      <c r="J164" s="249"/>
      <c r="K164" s="589"/>
      <c r="L164" s="590"/>
      <c r="M164" s="590"/>
      <c r="N164" s="50" t="str">
        <f>IF(AND('331-CT'!$E$7=TH!H164,OR(L164="331",M164="331")),"331",IF(AND(OR(L164="131",M164="131"),H164='131-CT'!$E$7),"131",""))</f>
        <v/>
      </c>
      <c r="O164" s="50" t="str">
        <f>IF(AND($B164&gt;='111'!$N$11,$B164&lt;='111'!$O$11,OR($L164=$O$7,$M164=$O$7)),"x","")</f>
        <v/>
      </c>
      <c r="P164" s="50" t="str">
        <f>IF(AND($L164=$O$7,$B164&lt;'111'!$N$11),"x","")</f>
        <v/>
      </c>
      <c r="Q164" s="50" t="str">
        <f>IF(AND($M164=$O$7,$B164&lt;'111'!$N$11),"x","")</f>
        <v/>
      </c>
      <c r="R164" s="50" t="str">
        <f>IF(ISERROR(FIND('112'!$M$9,G164,1)),"",IF((AND(FIND('112'!$M$9,G164,1)&gt;=1,$B164&gt;='112'!$N$8,$B164&lt;='112'!$O$8,OR($L164='112'!$I$6,$M164='112'!$I$6))),"x",""))</f>
        <v/>
      </c>
      <c r="S164" s="50" t="str">
        <f>IF(ISERROR(FIND('112'!$M$9,G164,1)),"",IF((AND(LEFT(G164,2)=LEFT('112'!$M$9,2),B164&lt;'112'!$N$8,$L164='112'!$I$6)),"x",""))</f>
        <v/>
      </c>
      <c r="T164" s="50" t="str">
        <f>IF(ISERROR(FIND('112'!$M$9,G164,1)),"",IF((AND(RIGHT(G164,2)=RIGHT('112'!$M$9,2),B164&lt;'112'!$N$8,$M164='112'!$I$6)),"x",""))</f>
        <v/>
      </c>
      <c r="U164" s="50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0" t="str">
        <f>IF(OR(TH!L164=TH!$V$7,M164=TH!$V$7),"x","")</f>
        <v/>
      </c>
      <c r="W164" s="50" t="str">
        <f>IF(AND(B164&gt;='IN-NX'!$P$3,B164&lt;='IN-NX'!$Q$3,'IN-NX'!$D$7=D164,OR(LEFT(L164,2)="15",AND(LEFT(M164,2)&lt;&gt;"15",LEFT(M164,2)&lt;&gt;"33"))),"x","")</f>
        <v/>
      </c>
      <c r="X164" s="50" t="str">
        <f>IF(AND(OR(LEFT(TH!L164,2)="15",LEFT(TH!M164,2)="15"),'152-CT'!$J$8=TH!F164),"x","")</f>
        <v/>
      </c>
      <c r="Y164" s="50" t="str">
        <f>IF(AND(OR(LEFT(TH!L164,2)="15",LEFT(TH!M164,2)="15"),TK!$E$7=TH!F164),"x","")</f>
        <v/>
      </c>
      <c r="Z164" s="50" t="str">
        <f>IF(AND(B164&lt;=NKC!$N$8,B164&gt;=NKC!$M$8),"x","")</f>
        <v/>
      </c>
      <c r="AA164" s="845"/>
    </row>
    <row r="165" spans="1:30" s="581" customFormat="1" ht="15.75" customHeight="1">
      <c r="A165" s="846" t="str">
        <f>IF(B165&lt;&gt;"",IF(AND(B165&gt;=_TM1,B165&lt;=_TM2,OR(TH!L165="1111",TH!M165="1111")),TH!D165,""),"")</f>
        <v/>
      </c>
      <c r="B165" s="36" t="str">
        <f t="shared" si="5"/>
        <v/>
      </c>
      <c r="C165" s="187"/>
      <c r="D165" s="180"/>
      <c r="E165" s="180"/>
      <c r="F165" s="185"/>
      <c r="G165" s="853"/>
      <c r="H165" s="189"/>
      <c r="I165" s="249"/>
      <c r="J165" s="249"/>
      <c r="K165" s="589"/>
      <c r="L165" s="590"/>
      <c r="M165" s="590"/>
      <c r="N165" s="50" t="str">
        <f>IF(AND('331-CT'!$E$7=TH!H165,OR(L165="331",M165="331")),"331",IF(AND(OR(L165="131",M165="131"),H165='131-CT'!$E$7),"131",""))</f>
        <v/>
      </c>
      <c r="O165" s="50" t="str">
        <f>IF(AND($B165&gt;='111'!$N$11,$B165&lt;='111'!$O$11,OR($L165=$O$7,$M165=$O$7)),"x","")</f>
        <v/>
      </c>
      <c r="P165" s="50" t="str">
        <f>IF(AND($L165=$O$7,$B165&lt;'111'!$N$11),"x","")</f>
        <v/>
      </c>
      <c r="Q165" s="50" t="str">
        <f>IF(AND($M165=$O$7,$B165&lt;'111'!$N$11),"x","")</f>
        <v/>
      </c>
      <c r="R165" s="50" t="str">
        <f>IF(ISERROR(FIND('112'!$M$9,G165,1)),"",IF((AND(FIND('112'!$M$9,G165,1)&gt;=1,$B165&gt;='112'!$N$8,$B165&lt;='112'!$O$8,OR($L165='112'!$I$6,$M165='112'!$I$6))),"x",""))</f>
        <v/>
      </c>
      <c r="S165" s="50" t="str">
        <f>IF(ISERROR(FIND('112'!$M$9,G165,1)),"",IF((AND(LEFT(G165,2)=LEFT('112'!$M$9,2),B165&lt;'112'!$N$8,$L165='112'!$I$6)),"x",""))</f>
        <v/>
      </c>
      <c r="T165" s="50" t="str">
        <f>IF(ISERROR(FIND('112'!$M$9,G165,1)),"",IF((AND(RIGHT(G165,2)=RIGHT('112'!$M$9,2),B165&lt;'112'!$N$8,$M165='112'!$I$6)),"x",""))</f>
        <v/>
      </c>
      <c r="U165" s="50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0" t="str">
        <f>IF(OR(TH!L165=TH!$V$7,M165=TH!$V$7),"x","")</f>
        <v/>
      </c>
      <c r="W165" s="50" t="str">
        <f>IF(AND(B165&gt;='IN-NX'!$P$3,B165&lt;='IN-NX'!$Q$3,'IN-NX'!$D$7=D165,OR(LEFT(L165,2)="15",AND(LEFT(M165,2)&lt;&gt;"15",LEFT(M165,2)&lt;&gt;"33"))),"x","")</f>
        <v/>
      </c>
      <c r="X165" s="50" t="str">
        <f>IF(AND(OR(LEFT(TH!L165,2)="15",LEFT(TH!M165,2)="15"),'152-CT'!$J$8=TH!F165),"x","")</f>
        <v/>
      </c>
      <c r="Y165" s="50" t="str">
        <f>IF(AND(OR(LEFT(TH!L165,2)="15",LEFT(TH!M165,2)="15"),TK!$E$7=TH!F165),"x","")</f>
        <v/>
      </c>
      <c r="Z165" s="50" t="str">
        <f>IF(AND(B165&lt;=NKC!$N$8,B165&gt;=NKC!$M$8),"x","")</f>
        <v/>
      </c>
      <c r="AA165" s="845"/>
      <c r="AC165" s="201"/>
      <c r="AD165" s="201"/>
    </row>
    <row r="166" spans="1:30" s="581" customFormat="1" ht="15.75" customHeight="1">
      <c r="A166" s="846" t="str">
        <f>IF(B166&lt;&gt;"",IF(AND(B166&gt;=_TM1,B166&lt;=_TM2,OR(TH!L166="1111",TH!M166="1111")),TH!D166,""),"")</f>
        <v/>
      </c>
      <c r="B166" s="36" t="str">
        <f t="shared" si="5"/>
        <v/>
      </c>
      <c r="C166" s="187"/>
      <c r="D166" s="180"/>
      <c r="E166" s="180"/>
      <c r="F166" s="185"/>
      <c r="G166" s="853"/>
      <c r="H166" s="189"/>
      <c r="I166" s="249"/>
      <c r="J166" s="249"/>
      <c r="K166" s="589"/>
      <c r="L166" s="590"/>
      <c r="M166" s="590"/>
      <c r="N166" s="50" t="str">
        <f>IF(AND('331-CT'!$E$7=TH!H166,OR(L166="331",M166="331")),"331",IF(AND(OR(L166="131",M166="131"),H166='131-CT'!$E$7),"131",""))</f>
        <v/>
      </c>
      <c r="O166" s="50" t="str">
        <f>IF(AND($B166&gt;='111'!$N$11,$B166&lt;='111'!$O$11,OR($L166=$O$7,$M166=$O$7)),"x","")</f>
        <v/>
      </c>
      <c r="P166" s="50" t="str">
        <f>IF(AND($L166=$O$7,$B166&lt;'111'!$N$11),"x","")</f>
        <v/>
      </c>
      <c r="Q166" s="50" t="str">
        <f>IF(AND($M166=$O$7,$B166&lt;'111'!$N$11),"x","")</f>
        <v/>
      </c>
      <c r="R166" s="50" t="str">
        <f>IF(ISERROR(FIND('112'!$M$9,G166,1)),"",IF((AND(FIND('112'!$M$9,G166,1)&gt;=1,$B166&gt;='112'!$N$8,$B166&lt;='112'!$O$8,OR($L166='112'!$I$6,$M166='112'!$I$6))),"x",""))</f>
        <v/>
      </c>
      <c r="S166" s="50" t="str">
        <f>IF(ISERROR(FIND('112'!$M$9,G166,1)),"",IF((AND(LEFT(G166,2)=LEFT('112'!$M$9,2),B166&lt;'112'!$N$8,$L166='112'!$I$6)),"x",""))</f>
        <v/>
      </c>
      <c r="T166" s="50" t="str">
        <f>IF(ISERROR(FIND('112'!$M$9,G166,1)),"",IF((AND(RIGHT(G166,2)=RIGHT('112'!$M$9,2),B166&lt;'112'!$N$8,$M166='112'!$I$6)),"x",""))</f>
        <v/>
      </c>
      <c r="U166" s="50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0" t="str">
        <f>IF(OR(TH!L166=TH!$V$7,M166=TH!$V$7),"x","")</f>
        <v/>
      </c>
      <c r="W166" s="50" t="str">
        <f>IF(AND(B166&gt;='IN-NX'!$P$3,B166&lt;='IN-NX'!$Q$3,'IN-NX'!$D$7=D166,OR(LEFT(L166,2)="15",AND(LEFT(M166,2)&lt;&gt;"15",LEFT(M166,2)&lt;&gt;"33"))),"x","")</f>
        <v/>
      </c>
      <c r="X166" s="50" t="str">
        <f>IF(AND(OR(LEFT(TH!L166,2)="15",LEFT(TH!M166,2)="15"),'152-CT'!$J$8=TH!F166),"x","")</f>
        <v/>
      </c>
      <c r="Y166" s="50" t="str">
        <f>IF(AND(OR(LEFT(TH!L166,2)="15",LEFT(TH!M166,2)="15"),TK!$E$7=TH!F166),"x","")</f>
        <v/>
      </c>
      <c r="Z166" s="50" t="str">
        <f>IF(AND(B166&lt;=NKC!$N$8,B166&gt;=NKC!$M$8),"x","")</f>
        <v/>
      </c>
      <c r="AA166" s="845"/>
      <c r="AC166" s="201"/>
      <c r="AD166" s="201"/>
    </row>
    <row r="167" spans="1:30" s="581" customFormat="1" ht="15.75" customHeight="1">
      <c r="A167" s="846" t="str">
        <f>IF(B167&lt;&gt;"",IF(AND(B167&gt;=_TM1,B167&lt;=_TM2,OR(TH!L167="1111",TH!M167="1111")),TH!D167,""),"")</f>
        <v/>
      </c>
      <c r="B167" s="36" t="str">
        <f t="shared" si="5"/>
        <v/>
      </c>
      <c r="C167" s="187"/>
      <c r="D167" s="180"/>
      <c r="E167" s="180"/>
      <c r="F167" s="185"/>
      <c r="G167" s="854"/>
      <c r="H167" s="189"/>
      <c r="I167" s="249"/>
      <c r="J167" s="249"/>
      <c r="K167" s="589"/>
      <c r="L167" s="590"/>
      <c r="M167" s="590"/>
      <c r="N167" s="50" t="str">
        <f>IF(AND('331-CT'!$E$7=TH!H167,OR(L167="331",M167="331")),"331",IF(AND(OR(L167="131",M167="131"),H167='131-CT'!$E$7),"131",""))</f>
        <v/>
      </c>
      <c r="O167" s="50" t="str">
        <f>IF(AND($B167&gt;='111'!$N$11,$B167&lt;='111'!$O$11,OR($L167=$O$7,$M167=$O$7)),"x","")</f>
        <v/>
      </c>
      <c r="P167" s="50" t="str">
        <f>IF(AND($L167=$O$7,$B167&lt;'111'!$N$11),"x","")</f>
        <v/>
      </c>
      <c r="Q167" s="50" t="str">
        <f>IF(AND($M167=$O$7,$B167&lt;'111'!$N$11),"x","")</f>
        <v/>
      </c>
      <c r="R167" s="50" t="str">
        <f>IF(ISERROR(FIND('112'!$M$9,G167,1)),"",IF((AND(FIND('112'!$M$9,G167,1)&gt;=1,$B167&gt;='112'!$N$8,$B167&lt;='112'!$O$8,OR($L167='112'!$I$6,$M167='112'!$I$6))),"x",""))</f>
        <v/>
      </c>
      <c r="S167" s="50" t="str">
        <f>IF(ISERROR(FIND('112'!$M$9,G167,1)),"",IF((AND(LEFT(G167,2)=LEFT('112'!$M$9,2),B167&lt;'112'!$N$8,$L167='112'!$I$6)),"x",""))</f>
        <v/>
      </c>
      <c r="T167" s="50" t="str">
        <f>IF(ISERROR(FIND('112'!$M$9,G167,1)),"",IF((AND(RIGHT(G167,2)=RIGHT('112'!$M$9,2),B167&lt;'112'!$N$8,$M167='112'!$I$6)),"x",""))</f>
        <v/>
      </c>
      <c r="U167" s="50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0" t="str">
        <f>IF(OR(TH!L167=TH!$V$7,M167=TH!$V$7),"x","")</f>
        <v/>
      </c>
      <c r="W167" s="50" t="str">
        <f>IF(AND(B167&gt;='IN-NX'!$P$3,B167&lt;='IN-NX'!$Q$3,'IN-NX'!$D$7=D167,OR(LEFT(L167,2)="15",AND(LEFT(M167,2)&lt;&gt;"15",LEFT(M167,2)&lt;&gt;"33"))),"x","")</f>
        <v/>
      </c>
      <c r="X167" s="50" t="str">
        <f>IF(AND(OR(LEFT(TH!L167,2)="15",LEFT(TH!M167,2)="15"),'152-CT'!$J$8=TH!F167),"x","")</f>
        <v/>
      </c>
      <c r="Y167" s="50" t="str">
        <f>IF(AND(OR(LEFT(TH!L167,2)="15",LEFT(TH!M167,2)="15"),TK!$E$7=TH!F167),"x","")</f>
        <v/>
      </c>
      <c r="Z167" s="50" t="str">
        <f>IF(AND(B167&lt;=NKC!$N$8,B167&gt;=NKC!$M$8),"x","")</f>
        <v/>
      </c>
      <c r="AA167" s="845"/>
    </row>
    <row r="168" spans="1:30" s="581" customFormat="1" ht="15.75" customHeight="1">
      <c r="A168" s="846" t="str">
        <f>IF(B168&lt;&gt;"",IF(AND(B168&gt;=_TM1,B168&lt;=_TM2,OR(TH!L168="1111",TH!M168="1111")),TH!D168,""),"")</f>
        <v/>
      </c>
      <c r="B168" s="36" t="str">
        <f t="shared" si="5"/>
        <v/>
      </c>
      <c r="C168" s="187"/>
      <c r="D168" s="180"/>
      <c r="E168" s="180"/>
      <c r="F168" s="185"/>
      <c r="G168" s="854"/>
      <c r="H168" s="189"/>
      <c r="I168" s="249"/>
      <c r="J168" s="249"/>
      <c r="K168" s="589"/>
      <c r="L168" s="590"/>
      <c r="M168" s="590"/>
      <c r="N168" s="50" t="str">
        <f>IF(AND('331-CT'!$E$7=TH!H168,OR(L168="331",M168="331")),"331",IF(AND(OR(L168="131",M168="131"),H168='131-CT'!$E$7),"131",""))</f>
        <v/>
      </c>
      <c r="O168" s="50" t="str">
        <f>IF(AND($B168&gt;='111'!$N$11,$B168&lt;='111'!$O$11,OR($L168=$O$7,$M168=$O$7)),"x","")</f>
        <v/>
      </c>
      <c r="P168" s="50" t="str">
        <f>IF(AND($L168=$O$7,$B168&lt;'111'!$N$11),"x","")</f>
        <v/>
      </c>
      <c r="Q168" s="50" t="str">
        <f>IF(AND($M168=$O$7,$B168&lt;'111'!$N$11),"x","")</f>
        <v/>
      </c>
      <c r="R168" s="50" t="str">
        <f>IF(ISERROR(FIND('112'!$M$9,G168,1)),"",IF((AND(FIND('112'!$M$9,G168,1)&gt;=1,$B168&gt;='112'!$N$8,$B168&lt;='112'!$O$8,OR($L168='112'!$I$6,$M168='112'!$I$6))),"x",""))</f>
        <v/>
      </c>
      <c r="S168" s="50" t="str">
        <f>IF(ISERROR(FIND('112'!$M$9,G168,1)),"",IF((AND(LEFT(G168,2)=LEFT('112'!$M$9,2),B168&lt;'112'!$N$8,$L168='112'!$I$6)),"x",""))</f>
        <v/>
      </c>
      <c r="T168" s="50" t="str">
        <f>IF(ISERROR(FIND('112'!$M$9,G168,1)),"",IF((AND(RIGHT(G168,2)=RIGHT('112'!$M$9,2),B168&lt;'112'!$N$8,$M168='112'!$I$6)),"x",""))</f>
        <v/>
      </c>
      <c r="U168" s="50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0" t="str">
        <f>IF(OR(TH!L168=TH!$V$7,M168=TH!$V$7),"x","")</f>
        <v/>
      </c>
      <c r="W168" s="50" t="str">
        <f>IF(AND(B168&gt;='IN-NX'!$P$3,B168&lt;='IN-NX'!$Q$3,'IN-NX'!$D$7=D168,OR(LEFT(L168,2)="15",AND(LEFT(M168,2)&lt;&gt;"15",LEFT(M168,2)&lt;&gt;"33"))),"x","")</f>
        <v/>
      </c>
      <c r="X168" s="50" t="str">
        <f>IF(AND(OR(LEFT(TH!L168,2)="15",LEFT(TH!M168,2)="15"),'152-CT'!$J$8=TH!F168),"x","")</f>
        <v/>
      </c>
      <c r="Y168" s="50" t="str">
        <f>IF(AND(OR(LEFT(TH!L168,2)="15",LEFT(TH!M168,2)="15"),TK!$E$7=TH!F168),"x","")</f>
        <v/>
      </c>
      <c r="Z168" s="50" t="str">
        <f>IF(AND(B168&lt;=NKC!$N$8,B168&gt;=NKC!$M$8),"x","")</f>
        <v/>
      </c>
      <c r="AA168" s="845"/>
    </row>
    <row r="169" spans="1:30" s="581" customFormat="1" ht="15.75" customHeight="1">
      <c r="A169" s="846" t="str">
        <f>IF(B169&lt;&gt;"",IF(AND(B169&gt;=_TM1,B169&lt;=_TM2,OR(TH!L169="1111",TH!M169="1111")),TH!D169,""),"")</f>
        <v/>
      </c>
      <c r="B169" s="36" t="str">
        <f t="shared" si="5"/>
        <v/>
      </c>
      <c r="C169" s="187"/>
      <c r="D169" s="180"/>
      <c r="E169" s="180"/>
      <c r="F169" s="185"/>
      <c r="G169" s="854"/>
      <c r="H169" s="189"/>
      <c r="I169" s="249"/>
      <c r="J169" s="249"/>
      <c r="K169" s="589"/>
      <c r="L169" s="590"/>
      <c r="M169" s="590"/>
      <c r="N169" s="50" t="str">
        <f>IF(AND('331-CT'!$E$7=TH!H169,OR(L169="331",M169="331")),"331",IF(AND(OR(L169="131",M169="131"),H169='131-CT'!$E$7),"131",""))</f>
        <v/>
      </c>
      <c r="O169" s="50" t="str">
        <f>IF(AND($B169&gt;='111'!$N$11,$B169&lt;='111'!$O$11,OR($L169=$O$7,$M169=$O$7)),"x","")</f>
        <v/>
      </c>
      <c r="P169" s="50" t="str">
        <f>IF(AND($L169=$O$7,$B169&lt;'111'!$N$11),"x","")</f>
        <v/>
      </c>
      <c r="Q169" s="50" t="str">
        <f>IF(AND($M169=$O$7,$B169&lt;'111'!$N$11),"x","")</f>
        <v/>
      </c>
      <c r="R169" s="50" t="str">
        <f>IF(ISERROR(FIND('112'!$M$9,G169,1)),"",IF((AND(FIND('112'!$M$9,G169,1)&gt;=1,$B169&gt;='112'!$N$8,$B169&lt;='112'!$O$8,OR($L169='112'!$I$6,$M169='112'!$I$6))),"x",""))</f>
        <v/>
      </c>
      <c r="S169" s="50" t="str">
        <f>IF(ISERROR(FIND('112'!$M$9,G169,1)),"",IF((AND(LEFT(G169,2)=LEFT('112'!$M$9,2),B169&lt;'112'!$N$8,$L169='112'!$I$6)),"x",""))</f>
        <v/>
      </c>
      <c r="T169" s="50" t="str">
        <f>IF(ISERROR(FIND('112'!$M$9,G169,1)),"",IF((AND(RIGHT(G169,2)=RIGHT('112'!$M$9,2),B169&lt;'112'!$N$8,$M169='112'!$I$6)),"x",""))</f>
        <v/>
      </c>
      <c r="U169" s="50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0" t="str">
        <f>IF(OR(TH!L169=TH!$V$7,M169=TH!$V$7),"x","")</f>
        <v/>
      </c>
      <c r="W169" s="50" t="str">
        <f>IF(AND(B169&gt;='IN-NX'!$P$3,B169&lt;='IN-NX'!$Q$3,'IN-NX'!$D$7=D169,OR(LEFT(L169,2)="15",AND(LEFT(M169,2)&lt;&gt;"15",LEFT(M169,2)&lt;&gt;"33"))),"x","")</f>
        <v/>
      </c>
      <c r="X169" s="50" t="str">
        <f>IF(AND(OR(LEFT(TH!L169,2)="15",LEFT(TH!M169,2)="15"),'152-CT'!$J$8=TH!F169),"x","")</f>
        <v/>
      </c>
      <c r="Y169" s="50" t="str">
        <f>IF(AND(OR(LEFT(TH!L169,2)="15",LEFT(TH!M169,2)="15"),TK!$E$7=TH!F169),"x","")</f>
        <v/>
      </c>
      <c r="Z169" s="50" t="str">
        <f>IF(AND(B169&lt;=NKC!$N$8,B169&gt;=NKC!$M$8),"x","")</f>
        <v/>
      </c>
      <c r="AA169" s="845"/>
    </row>
    <row r="170" spans="1:30" s="581" customFormat="1" ht="15.75" customHeight="1">
      <c r="A170" s="846" t="str">
        <f>IF(B170&lt;&gt;"",IF(AND(B170&gt;=_TM1,B170&lt;=_TM2,OR(TH!L170="1111",TH!M170="1111")),TH!D170,""),"")</f>
        <v/>
      </c>
      <c r="B170" s="36" t="str">
        <f t="shared" si="5"/>
        <v/>
      </c>
      <c r="C170" s="187"/>
      <c r="D170" s="180"/>
      <c r="E170" s="180"/>
      <c r="F170" s="185"/>
      <c r="G170" s="854"/>
      <c r="H170" s="189"/>
      <c r="I170" s="249"/>
      <c r="J170" s="249"/>
      <c r="K170" s="589"/>
      <c r="L170" s="590"/>
      <c r="M170" s="590"/>
      <c r="N170" s="50" t="str">
        <f>IF(AND('331-CT'!$E$7=TH!H170,OR(L170="331",M170="331")),"331",IF(AND(OR(L170="131",M170="131"),H170='131-CT'!$E$7),"131",""))</f>
        <v/>
      </c>
      <c r="O170" s="50" t="str">
        <f>IF(AND($B170&gt;='111'!$N$11,$B170&lt;='111'!$O$11,OR($L170=$O$7,$M170=$O$7)),"x","")</f>
        <v/>
      </c>
      <c r="P170" s="50" t="str">
        <f>IF(AND($L170=$O$7,$B170&lt;'111'!$N$11),"x","")</f>
        <v/>
      </c>
      <c r="Q170" s="50" t="str">
        <f>IF(AND($M170=$O$7,$B170&lt;'111'!$N$11),"x","")</f>
        <v/>
      </c>
      <c r="R170" s="50" t="str">
        <f>IF(ISERROR(FIND('112'!$M$9,G170,1)),"",IF((AND(FIND('112'!$M$9,G170,1)&gt;=1,$B170&gt;='112'!$N$8,$B170&lt;='112'!$O$8,OR($L170='112'!$I$6,$M170='112'!$I$6))),"x",""))</f>
        <v/>
      </c>
      <c r="S170" s="50" t="str">
        <f>IF(ISERROR(FIND('112'!$M$9,G170,1)),"",IF((AND(LEFT(G170,2)=LEFT('112'!$M$9,2),B170&lt;'112'!$N$8,$L170='112'!$I$6)),"x",""))</f>
        <v/>
      </c>
      <c r="T170" s="50" t="str">
        <f>IF(ISERROR(FIND('112'!$M$9,G170,1)),"",IF((AND(RIGHT(G170,2)=RIGHT('112'!$M$9,2),B170&lt;'112'!$N$8,$M170='112'!$I$6)),"x",""))</f>
        <v/>
      </c>
      <c r="U170" s="50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0" t="str">
        <f>IF(OR(TH!L170=TH!$V$7,M170=TH!$V$7),"x","")</f>
        <v/>
      </c>
      <c r="W170" s="50" t="str">
        <f>IF(AND(B170&gt;='IN-NX'!$P$3,B170&lt;='IN-NX'!$Q$3,'IN-NX'!$D$7=D170,OR(LEFT(L170,2)="15",AND(LEFT(M170,2)&lt;&gt;"15",LEFT(M170,2)&lt;&gt;"33"))),"x","")</f>
        <v/>
      </c>
      <c r="X170" s="50" t="str">
        <f>IF(AND(OR(LEFT(TH!L170,2)="15",LEFT(TH!M170,2)="15"),'152-CT'!$J$8=TH!F170),"x","")</f>
        <v/>
      </c>
      <c r="Y170" s="50" t="str">
        <f>IF(AND(OR(LEFT(TH!L170,2)="15",LEFT(TH!M170,2)="15"),TK!$E$7=TH!F170),"x","")</f>
        <v/>
      </c>
      <c r="Z170" s="50" t="str">
        <f>IF(AND(B170&lt;=NKC!$N$8,B170&gt;=NKC!$M$8),"x","")</f>
        <v/>
      </c>
      <c r="AA170" s="845"/>
    </row>
    <row r="171" spans="1:30" s="581" customFormat="1" ht="15.75" customHeight="1">
      <c r="A171" s="846" t="str">
        <f>IF(B171&lt;&gt;"",IF(AND(B171&gt;=_TM1,B171&lt;=_TM2,OR(TH!L171="1111",TH!M171="1111")),TH!D171,""),"")</f>
        <v/>
      </c>
      <c r="B171" s="36" t="str">
        <f t="shared" si="5"/>
        <v/>
      </c>
      <c r="C171" s="187"/>
      <c r="D171" s="180"/>
      <c r="E171" s="180"/>
      <c r="F171" s="185"/>
      <c r="G171" s="854"/>
      <c r="H171" s="189"/>
      <c r="I171" s="249"/>
      <c r="J171" s="249"/>
      <c r="K171" s="589"/>
      <c r="L171" s="590"/>
      <c r="M171" s="590"/>
      <c r="N171" s="50" t="str">
        <f>IF(AND('331-CT'!$E$7=TH!H171,OR(L171="331",M171="331")),"331",IF(AND(OR(L171="131",M171="131"),H171='131-CT'!$E$7),"131",""))</f>
        <v/>
      </c>
      <c r="O171" s="50" t="str">
        <f>IF(AND($B171&gt;='111'!$N$11,$B171&lt;='111'!$O$11,OR($L171=$O$7,$M171=$O$7)),"x","")</f>
        <v/>
      </c>
      <c r="P171" s="50" t="str">
        <f>IF(AND($L171=$O$7,$B171&lt;'111'!$N$11),"x","")</f>
        <v/>
      </c>
      <c r="Q171" s="50" t="str">
        <f>IF(AND($M171=$O$7,$B171&lt;'111'!$N$11),"x","")</f>
        <v/>
      </c>
      <c r="R171" s="50" t="str">
        <f>IF(ISERROR(FIND('112'!$M$9,G171,1)),"",IF((AND(FIND('112'!$M$9,G171,1)&gt;=1,$B171&gt;='112'!$N$8,$B171&lt;='112'!$O$8,OR($L171='112'!$I$6,$M171='112'!$I$6))),"x",""))</f>
        <v/>
      </c>
      <c r="S171" s="50" t="str">
        <f>IF(ISERROR(FIND('112'!$M$9,G171,1)),"",IF((AND(LEFT(G171,2)=LEFT('112'!$M$9,2),B171&lt;'112'!$N$8,$L171='112'!$I$6)),"x",""))</f>
        <v/>
      </c>
      <c r="T171" s="50" t="str">
        <f>IF(ISERROR(FIND('112'!$M$9,G171,1)),"",IF((AND(RIGHT(G171,2)=RIGHT('112'!$M$9,2),B171&lt;'112'!$N$8,$M171='112'!$I$6)),"x",""))</f>
        <v/>
      </c>
      <c r="U171" s="50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0" t="str">
        <f>IF(OR(TH!L171=TH!$V$7,M171=TH!$V$7),"x","")</f>
        <v/>
      </c>
      <c r="W171" s="50" t="str">
        <f>IF(AND(B171&gt;='IN-NX'!$P$3,B171&lt;='IN-NX'!$Q$3,'IN-NX'!$D$7=D171,OR(LEFT(L171,2)="15",AND(LEFT(M171,2)&lt;&gt;"15",LEFT(M171,2)&lt;&gt;"33"))),"x","")</f>
        <v/>
      </c>
      <c r="X171" s="50" t="str">
        <f>IF(AND(OR(LEFT(TH!L171,2)="15",LEFT(TH!M171,2)="15"),'152-CT'!$J$8=TH!F171),"x","")</f>
        <v/>
      </c>
      <c r="Y171" s="50" t="str">
        <f>IF(AND(OR(LEFT(TH!L171,2)="15",LEFT(TH!M171,2)="15"),TK!$E$7=TH!F171),"x","")</f>
        <v/>
      </c>
      <c r="Z171" s="50" t="str">
        <f>IF(AND(B171&lt;=NKC!$N$8,B171&gt;=NKC!$M$8),"x","")</f>
        <v/>
      </c>
      <c r="AA171" s="845"/>
      <c r="AC171" s="201"/>
      <c r="AD171" s="201"/>
    </row>
    <row r="172" spans="1:30" s="581" customFormat="1" ht="15.75" customHeight="1">
      <c r="A172" s="846" t="str">
        <f>IF(B172&lt;&gt;"",IF(AND(B172&gt;=_TM1,B172&lt;=_TM2,OR(TH!L172="1111",TH!M172="1111")),TH!D172,""),"")</f>
        <v/>
      </c>
      <c r="B172" s="36" t="str">
        <f t="shared" si="5"/>
        <v/>
      </c>
      <c r="C172" s="187"/>
      <c r="D172" s="180"/>
      <c r="E172" s="180"/>
      <c r="F172" s="185"/>
      <c r="G172" s="854"/>
      <c r="H172" s="189"/>
      <c r="I172" s="249"/>
      <c r="J172" s="249"/>
      <c r="K172" s="589"/>
      <c r="L172" s="590"/>
      <c r="M172" s="590"/>
      <c r="N172" s="50" t="str">
        <f>IF(AND('331-CT'!$E$7=TH!H172,OR(L172="331",M172="331")),"331",IF(AND(OR(L172="131",M172="131"),H172='131-CT'!$E$7),"131",""))</f>
        <v/>
      </c>
      <c r="O172" s="50" t="str">
        <f>IF(AND($B172&gt;='111'!$N$11,$B172&lt;='111'!$O$11,OR($L172=$O$7,$M172=$O$7)),"x","")</f>
        <v/>
      </c>
      <c r="P172" s="50" t="str">
        <f>IF(AND($L172=$O$7,$B172&lt;'111'!$N$11),"x","")</f>
        <v/>
      </c>
      <c r="Q172" s="50" t="str">
        <f>IF(AND($M172=$O$7,$B172&lt;'111'!$N$11),"x","")</f>
        <v/>
      </c>
      <c r="R172" s="50" t="str">
        <f>IF(ISERROR(FIND('112'!$M$9,G172,1)),"",IF((AND(FIND('112'!$M$9,G172,1)&gt;=1,$B172&gt;='112'!$N$8,$B172&lt;='112'!$O$8,OR($L172='112'!$I$6,$M172='112'!$I$6))),"x",""))</f>
        <v/>
      </c>
      <c r="S172" s="50" t="str">
        <f>IF(ISERROR(FIND('112'!$M$9,G172,1)),"",IF((AND(LEFT(G172,2)=LEFT('112'!$M$9,2),B172&lt;'112'!$N$8,$L172='112'!$I$6)),"x",""))</f>
        <v/>
      </c>
      <c r="T172" s="50" t="str">
        <f>IF(ISERROR(FIND('112'!$M$9,G172,1)),"",IF((AND(RIGHT(G172,2)=RIGHT('112'!$M$9,2),B172&lt;'112'!$N$8,$M172='112'!$I$6)),"x",""))</f>
        <v/>
      </c>
      <c r="U172" s="50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0" t="str">
        <f>IF(OR(TH!L172=TH!$V$7,M172=TH!$V$7),"x","")</f>
        <v/>
      </c>
      <c r="W172" s="50" t="str">
        <f>IF(AND(B172&gt;='IN-NX'!$P$3,B172&lt;='IN-NX'!$Q$3,'IN-NX'!$D$7=D172,OR(LEFT(L172,2)="15",AND(LEFT(M172,2)&lt;&gt;"15",LEFT(M172,2)&lt;&gt;"33"))),"x","")</f>
        <v/>
      </c>
      <c r="X172" s="50" t="str">
        <f>IF(AND(OR(LEFT(TH!L172,2)="15",LEFT(TH!M172,2)="15"),'152-CT'!$J$8=TH!F172),"x","")</f>
        <v/>
      </c>
      <c r="Y172" s="50" t="str">
        <f>IF(AND(OR(LEFT(TH!L172,2)="15",LEFT(TH!M172,2)="15"),TK!$E$7=TH!F172),"x","")</f>
        <v/>
      </c>
      <c r="Z172" s="50" t="str">
        <f>IF(AND(B172&lt;=NKC!$N$8,B172&gt;=NKC!$M$8),"x","")</f>
        <v/>
      </c>
      <c r="AA172" s="845"/>
      <c r="AC172" s="201"/>
      <c r="AD172" s="201"/>
    </row>
    <row r="173" spans="1:30" s="581" customFormat="1" ht="15.75" customHeight="1">
      <c r="A173" s="846" t="str">
        <f>IF(B173&lt;&gt;"",IF(AND(B173&gt;=_TM1,B173&lt;=_TM2,OR(TH!L173="1111",TH!M173="1111")),TH!D173,""),"")</f>
        <v/>
      </c>
      <c r="B173" s="36" t="str">
        <f t="shared" si="5"/>
        <v/>
      </c>
      <c r="C173" s="187"/>
      <c r="D173" s="180"/>
      <c r="E173" s="180"/>
      <c r="F173" s="185"/>
      <c r="G173" s="854"/>
      <c r="H173" s="189"/>
      <c r="I173" s="249"/>
      <c r="J173" s="249"/>
      <c r="K173" s="589"/>
      <c r="L173" s="590"/>
      <c r="M173" s="590"/>
      <c r="N173" s="50" t="str">
        <f>IF(AND('331-CT'!$E$7=TH!H173,OR(L173="331",M173="331")),"331",IF(AND(OR(L173="131",M173="131"),H173='131-CT'!$E$7),"131",""))</f>
        <v/>
      </c>
      <c r="O173" s="50" t="str">
        <f>IF(AND($B173&gt;='111'!$N$11,$B173&lt;='111'!$O$11,OR($L173=$O$7,$M173=$O$7)),"x","")</f>
        <v/>
      </c>
      <c r="P173" s="50" t="str">
        <f>IF(AND($L173=$O$7,$B173&lt;'111'!$N$11),"x","")</f>
        <v/>
      </c>
      <c r="Q173" s="50" t="str">
        <f>IF(AND($M173=$O$7,$B173&lt;'111'!$N$11),"x","")</f>
        <v/>
      </c>
      <c r="R173" s="50" t="str">
        <f>IF(ISERROR(FIND('112'!$M$9,G173,1)),"",IF((AND(FIND('112'!$M$9,G173,1)&gt;=1,$B173&gt;='112'!$N$8,$B173&lt;='112'!$O$8,OR($L173='112'!$I$6,$M173='112'!$I$6))),"x",""))</f>
        <v/>
      </c>
      <c r="S173" s="50" t="str">
        <f>IF(ISERROR(FIND('112'!$M$9,G173,1)),"",IF((AND(LEFT(G173,2)=LEFT('112'!$M$9,2),B173&lt;'112'!$N$8,$L173='112'!$I$6)),"x",""))</f>
        <v/>
      </c>
      <c r="T173" s="50" t="str">
        <f>IF(ISERROR(FIND('112'!$M$9,G173,1)),"",IF((AND(RIGHT(G173,2)=RIGHT('112'!$M$9,2),B173&lt;'112'!$N$8,$M173='112'!$I$6)),"x",""))</f>
        <v/>
      </c>
      <c r="U173" s="50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0" t="str">
        <f>IF(OR(TH!L173=TH!$V$7,M173=TH!$V$7),"x","")</f>
        <v/>
      </c>
      <c r="W173" s="50" t="str">
        <f>IF(AND(B173&gt;='IN-NX'!$P$3,B173&lt;='IN-NX'!$Q$3,'IN-NX'!$D$7=D173,OR(LEFT(L173,2)="15",AND(LEFT(M173,2)&lt;&gt;"15",LEFT(M173,2)&lt;&gt;"33"))),"x","")</f>
        <v/>
      </c>
      <c r="X173" s="50" t="str">
        <f>IF(AND(OR(LEFT(TH!L173,2)="15",LEFT(TH!M173,2)="15"),'152-CT'!$J$8=TH!F173),"x","")</f>
        <v/>
      </c>
      <c r="Y173" s="50" t="str">
        <f>IF(AND(OR(LEFT(TH!L173,2)="15",LEFT(TH!M173,2)="15"),TK!$E$7=TH!F173),"x","")</f>
        <v/>
      </c>
      <c r="Z173" s="50" t="str">
        <f>IF(AND(B173&lt;=NKC!$N$8,B173&gt;=NKC!$M$8),"x","")</f>
        <v/>
      </c>
      <c r="AA173" s="845"/>
      <c r="AC173" s="201"/>
      <c r="AD173" s="201"/>
    </row>
    <row r="174" spans="1:30" s="581" customFormat="1" ht="15.75" customHeight="1">
      <c r="A174" s="846" t="str">
        <f>IF(B174&lt;&gt;"",IF(AND(B174&gt;=_TM1,B174&lt;=_TM2,OR(TH!L174="1111",TH!M174="1111")),TH!D174,""),"")</f>
        <v/>
      </c>
      <c r="B174" s="36" t="str">
        <f t="shared" si="5"/>
        <v/>
      </c>
      <c r="C174" s="187"/>
      <c r="D174" s="180"/>
      <c r="E174" s="180"/>
      <c r="F174" s="185"/>
      <c r="G174" s="854"/>
      <c r="H174" s="189"/>
      <c r="I174" s="249"/>
      <c r="J174" s="249"/>
      <c r="K174" s="589"/>
      <c r="L174" s="590"/>
      <c r="M174" s="590"/>
      <c r="N174" s="50" t="str">
        <f>IF(AND('331-CT'!$E$7=TH!H174,OR(L174="331",M174="331")),"331",IF(AND(OR(L174="131",M174="131"),H174='131-CT'!$E$7),"131",""))</f>
        <v/>
      </c>
      <c r="O174" s="50" t="str">
        <f>IF(AND($B174&gt;='111'!$N$11,$B174&lt;='111'!$O$11,OR($L174=$O$7,$M174=$O$7)),"x","")</f>
        <v/>
      </c>
      <c r="P174" s="50" t="str">
        <f>IF(AND($L174=$O$7,$B174&lt;'111'!$N$11),"x","")</f>
        <v/>
      </c>
      <c r="Q174" s="50" t="str">
        <f>IF(AND($M174=$O$7,$B174&lt;'111'!$N$11),"x","")</f>
        <v/>
      </c>
      <c r="R174" s="50" t="str">
        <f>IF(ISERROR(FIND('112'!$M$9,G174,1)),"",IF((AND(FIND('112'!$M$9,G174,1)&gt;=1,$B174&gt;='112'!$N$8,$B174&lt;='112'!$O$8,OR($L174='112'!$I$6,$M174='112'!$I$6))),"x",""))</f>
        <v/>
      </c>
      <c r="S174" s="50" t="str">
        <f>IF(ISERROR(FIND('112'!$M$9,G174,1)),"",IF((AND(LEFT(G174,2)=LEFT('112'!$M$9,2),B174&lt;'112'!$N$8,$L174='112'!$I$6)),"x",""))</f>
        <v/>
      </c>
      <c r="T174" s="50" t="str">
        <f>IF(ISERROR(FIND('112'!$M$9,G174,1)),"",IF((AND(RIGHT(G174,2)=RIGHT('112'!$M$9,2),B174&lt;'112'!$N$8,$M174='112'!$I$6)),"x",""))</f>
        <v/>
      </c>
      <c r="U174" s="50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0" t="str">
        <f>IF(OR(TH!L174=TH!$V$7,M174=TH!$V$7),"x","")</f>
        <v/>
      </c>
      <c r="W174" s="50" t="str">
        <f>IF(AND(B174&gt;='IN-NX'!$P$3,B174&lt;='IN-NX'!$Q$3,'IN-NX'!$D$7=D174,OR(LEFT(L174,2)="15",AND(LEFT(M174,2)&lt;&gt;"15",LEFT(M174,2)&lt;&gt;"33"))),"x","")</f>
        <v/>
      </c>
      <c r="X174" s="50" t="str">
        <f>IF(AND(OR(LEFT(TH!L174,2)="15",LEFT(TH!M174,2)="15"),'152-CT'!$J$8=TH!F174),"x","")</f>
        <v/>
      </c>
      <c r="Y174" s="50" t="str">
        <f>IF(AND(OR(LEFT(TH!L174,2)="15",LEFT(TH!M174,2)="15"),TK!$E$7=TH!F174),"x","")</f>
        <v/>
      </c>
      <c r="Z174" s="50" t="str">
        <f>IF(AND(B174&lt;=NKC!$N$8,B174&gt;=NKC!$M$8),"x","")</f>
        <v/>
      </c>
      <c r="AA174" s="845"/>
      <c r="AB174" s="201"/>
      <c r="AC174" s="201"/>
      <c r="AD174" s="201"/>
    </row>
    <row r="175" spans="1:30" s="581" customFormat="1" ht="15.75" customHeight="1">
      <c r="A175" s="846" t="str">
        <f>IF(B175&lt;&gt;"",IF(AND(B175&gt;=_TM1,B175&lt;=_TM2,OR(TH!L175="1111",TH!M175="1111")),TH!D175,""),"")</f>
        <v/>
      </c>
      <c r="B175" s="36" t="str">
        <f t="shared" si="5"/>
        <v/>
      </c>
      <c r="C175" s="187"/>
      <c r="D175" s="180"/>
      <c r="E175" s="187"/>
      <c r="F175" s="185"/>
      <c r="G175" s="854"/>
      <c r="H175" s="189"/>
      <c r="I175" s="249"/>
      <c r="J175" s="249"/>
      <c r="K175" s="589"/>
      <c r="L175" s="590"/>
      <c r="M175" s="590"/>
      <c r="N175" s="50" t="str">
        <f>IF(AND('331-CT'!$E$7=TH!H175,OR(L175="331",M175="331")),"331",IF(AND(OR(L175="131",M175="131"),H175='131-CT'!$E$7),"131",""))</f>
        <v/>
      </c>
      <c r="O175" s="50" t="str">
        <f>IF(AND($B175&gt;='111'!$N$11,$B175&lt;='111'!$O$11,OR($L175=$O$7,$M175=$O$7)),"x","")</f>
        <v/>
      </c>
      <c r="P175" s="50" t="str">
        <f>IF(AND($L175=$O$7,$B175&lt;'111'!$N$11),"x","")</f>
        <v/>
      </c>
      <c r="Q175" s="50" t="str">
        <f>IF(AND($M175=$O$7,$B175&lt;'111'!$N$11),"x","")</f>
        <v/>
      </c>
      <c r="R175" s="50" t="str">
        <f>IF(ISERROR(FIND('112'!$M$9,G175,1)),"",IF((AND(FIND('112'!$M$9,G175,1)&gt;=1,$B175&gt;='112'!$N$8,$B175&lt;='112'!$O$8,OR($L175='112'!$I$6,$M175='112'!$I$6))),"x",""))</f>
        <v/>
      </c>
      <c r="S175" s="50" t="str">
        <f>IF(ISERROR(FIND('112'!$M$9,G175,1)),"",IF((AND(LEFT(G175,2)=LEFT('112'!$M$9,2),B175&lt;'112'!$N$8,$L175='112'!$I$6)),"x",""))</f>
        <v/>
      </c>
      <c r="T175" s="50" t="str">
        <f>IF(ISERROR(FIND('112'!$M$9,G175,1)),"",IF((AND(RIGHT(G175,2)=RIGHT('112'!$M$9,2),B175&lt;'112'!$N$8,$M175='112'!$I$6)),"x",""))</f>
        <v/>
      </c>
      <c r="U175" s="50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0" t="str">
        <f>IF(OR(TH!L175=TH!$V$7,M175=TH!$V$7),"x","")</f>
        <v/>
      </c>
      <c r="W175" s="50" t="str">
        <f>IF(AND(B175&gt;='IN-NX'!$P$3,B175&lt;='IN-NX'!$Q$3,'IN-NX'!$D$7=D175,OR(LEFT(L175,2)="15",AND(LEFT(M175,2)&lt;&gt;"15",LEFT(M175,2)&lt;&gt;"33"))),"x","")</f>
        <v/>
      </c>
      <c r="X175" s="50" t="str">
        <f>IF(AND(OR(LEFT(TH!L175,2)="15",LEFT(TH!M175,2)="15"),'152-CT'!$J$8=TH!F175),"x","")</f>
        <v/>
      </c>
      <c r="Y175" s="50" t="str">
        <f>IF(AND(OR(LEFT(TH!L175,2)="15",LEFT(TH!M175,2)="15"),TK!$E$7=TH!F175),"x","")</f>
        <v/>
      </c>
      <c r="Z175" s="50" t="str">
        <f>IF(AND(B175&lt;=NKC!$N$8,B175&gt;=NKC!$M$8),"x","")</f>
        <v/>
      </c>
      <c r="AA175" s="845"/>
      <c r="AC175" s="201"/>
      <c r="AD175" s="201"/>
    </row>
    <row r="176" spans="1:30" s="581" customFormat="1" ht="15.75" customHeight="1">
      <c r="A176" s="846" t="str">
        <f>IF(B176&lt;&gt;"",IF(AND(B176&gt;=_TM1,B176&lt;=_TM2,OR(TH!L176="1111",TH!M176="1111")),TH!D176,""),"")</f>
        <v/>
      </c>
      <c r="B176" s="36" t="str">
        <f t="shared" si="5"/>
        <v/>
      </c>
      <c r="C176" s="187"/>
      <c r="D176" s="180"/>
      <c r="E176" s="187"/>
      <c r="F176" s="185"/>
      <c r="G176" s="854"/>
      <c r="H176" s="189"/>
      <c r="I176" s="249"/>
      <c r="J176" s="249"/>
      <c r="K176" s="589"/>
      <c r="L176" s="590"/>
      <c r="M176" s="590"/>
      <c r="N176" s="50" t="str">
        <f>IF(AND('331-CT'!$E$7=TH!H176,OR(L176="331",M176="331")),"331",IF(AND(OR(L176="131",M176="131"),H176='131-CT'!$E$7),"131",""))</f>
        <v/>
      </c>
      <c r="O176" s="50" t="str">
        <f>IF(AND($B176&gt;='111'!$N$11,$B176&lt;='111'!$O$11,OR($L176=$O$7,$M176=$O$7)),"x","")</f>
        <v/>
      </c>
      <c r="P176" s="50" t="str">
        <f>IF(AND($L176=$O$7,$B176&lt;'111'!$N$11),"x","")</f>
        <v/>
      </c>
      <c r="Q176" s="50" t="str">
        <f>IF(AND($M176=$O$7,$B176&lt;'111'!$N$11),"x","")</f>
        <v/>
      </c>
      <c r="R176" s="50" t="str">
        <f>IF(ISERROR(FIND('112'!$M$9,G176,1)),"",IF((AND(FIND('112'!$M$9,G176,1)&gt;=1,$B176&gt;='112'!$N$8,$B176&lt;='112'!$O$8,OR($L176='112'!$I$6,$M176='112'!$I$6))),"x",""))</f>
        <v/>
      </c>
      <c r="S176" s="50" t="str">
        <f>IF(ISERROR(FIND('112'!$M$9,G176,1)),"",IF((AND(LEFT(G176,2)=LEFT('112'!$M$9,2),B176&lt;'112'!$N$8,$L176='112'!$I$6)),"x",""))</f>
        <v/>
      </c>
      <c r="T176" s="50" t="str">
        <f>IF(ISERROR(FIND('112'!$M$9,G176,1)),"",IF((AND(RIGHT(G176,2)=RIGHT('112'!$M$9,2),B176&lt;'112'!$N$8,$M176='112'!$I$6)),"x",""))</f>
        <v/>
      </c>
      <c r="U176" s="50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0" t="str">
        <f>IF(OR(TH!L176=TH!$V$7,M176=TH!$V$7),"x","")</f>
        <v/>
      </c>
      <c r="W176" s="50" t="str">
        <f>IF(AND(B176&gt;='IN-NX'!$P$3,B176&lt;='IN-NX'!$Q$3,'IN-NX'!$D$7=D176,OR(LEFT(L176,2)="15",AND(LEFT(M176,2)&lt;&gt;"15",LEFT(M176,2)&lt;&gt;"33"))),"x","")</f>
        <v/>
      </c>
      <c r="X176" s="50" t="str">
        <f>IF(AND(OR(LEFT(TH!L176,2)="15",LEFT(TH!M176,2)="15"),'152-CT'!$J$8=TH!F176),"x","")</f>
        <v/>
      </c>
      <c r="Y176" s="50" t="str">
        <f>IF(AND(OR(LEFT(TH!L176,2)="15",LEFT(TH!M176,2)="15"),TK!$E$7=TH!F176),"x","")</f>
        <v/>
      </c>
      <c r="Z176" s="50" t="str">
        <f>IF(AND(B176&lt;=NKC!$N$8,B176&gt;=NKC!$M$8),"x","")</f>
        <v/>
      </c>
      <c r="AA176" s="845"/>
      <c r="AC176" s="201"/>
      <c r="AD176" s="201"/>
    </row>
    <row r="177" spans="1:30" s="581" customFormat="1" ht="15.75" customHeight="1">
      <c r="A177" s="846" t="str">
        <f>IF(B177&lt;&gt;"",IF(AND(B177&gt;=_TM1,B177&lt;=_TM2,OR(TH!L177="1111",TH!M177="1111")),TH!D177,""),"")</f>
        <v/>
      </c>
      <c r="B177" s="36" t="str">
        <f t="shared" si="5"/>
        <v/>
      </c>
      <c r="C177" s="187"/>
      <c r="D177" s="180"/>
      <c r="E177" s="187"/>
      <c r="F177" s="185"/>
      <c r="G177" s="854"/>
      <c r="H177" s="189"/>
      <c r="I177" s="249"/>
      <c r="J177" s="249"/>
      <c r="K177" s="589"/>
      <c r="L177" s="590"/>
      <c r="M177" s="590"/>
      <c r="N177" s="50" t="str">
        <f>IF(AND('331-CT'!$E$7=TH!H177,OR(L177="331",M177="331")),"331",IF(AND(OR(L177="131",M177="131"),H177='131-CT'!$E$7),"131",""))</f>
        <v/>
      </c>
      <c r="O177" s="50" t="str">
        <f>IF(AND($B177&gt;='111'!$N$11,$B177&lt;='111'!$O$11,OR($L177=$O$7,$M177=$O$7)),"x","")</f>
        <v/>
      </c>
      <c r="P177" s="50" t="str">
        <f>IF(AND($L177=$O$7,$B177&lt;'111'!$N$11),"x","")</f>
        <v/>
      </c>
      <c r="Q177" s="50" t="str">
        <f>IF(AND($M177=$O$7,$B177&lt;'111'!$N$11),"x","")</f>
        <v/>
      </c>
      <c r="R177" s="50" t="str">
        <f>IF(ISERROR(FIND('112'!$M$9,G177,1)),"",IF((AND(FIND('112'!$M$9,G177,1)&gt;=1,$B177&gt;='112'!$N$8,$B177&lt;='112'!$O$8,OR($L177='112'!$I$6,$M177='112'!$I$6))),"x",""))</f>
        <v/>
      </c>
      <c r="S177" s="50" t="str">
        <f>IF(ISERROR(FIND('112'!$M$9,G177,1)),"",IF((AND(LEFT(G177,2)=LEFT('112'!$M$9,2),B177&lt;'112'!$N$8,$L177='112'!$I$6)),"x",""))</f>
        <v/>
      </c>
      <c r="T177" s="50" t="str">
        <f>IF(ISERROR(FIND('112'!$M$9,G177,1)),"",IF((AND(RIGHT(G177,2)=RIGHT('112'!$M$9,2),B177&lt;'112'!$N$8,$M177='112'!$I$6)),"x",""))</f>
        <v/>
      </c>
      <c r="U177" s="50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0" t="str">
        <f>IF(OR(TH!L177=TH!$V$7,M177=TH!$V$7),"x","")</f>
        <v/>
      </c>
      <c r="W177" s="50" t="str">
        <f>IF(AND(B177&gt;='IN-NX'!$P$3,B177&lt;='IN-NX'!$Q$3,'IN-NX'!$D$7=D177,OR(LEFT(L177,2)="15",AND(LEFT(M177,2)&lt;&gt;"15",LEFT(M177,2)&lt;&gt;"33"))),"x","")</f>
        <v/>
      </c>
      <c r="X177" s="50" t="str">
        <f>IF(AND(OR(LEFT(TH!L177,2)="15",LEFT(TH!M177,2)="15"),'152-CT'!$J$8=TH!F177),"x","")</f>
        <v/>
      </c>
      <c r="Y177" s="50" t="str">
        <f>IF(AND(OR(LEFT(TH!L177,2)="15",LEFT(TH!M177,2)="15"),TK!$E$7=TH!F177),"x","")</f>
        <v/>
      </c>
      <c r="Z177" s="50" t="str">
        <f>IF(AND(B177&lt;=NKC!$N$8,B177&gt;=NKC!$M$8),"x","")</f>
        <v/>
      </c>
      <c r="AA177" s="845"/>
      <c r="AB177" s="201"/>
      <c r="AC177" s="201"/>
      <c r="AD177" s="201"/>
    </row>
    <row r="178" spans="1:30" s="581" customFormat="1" ht="15.75" customHeight="1">
      <c r="A178" s="846" t="str">
        <f>IF(B178&lt;&gt;"",IF(AND(B178&gt;=_TM1,B178&lt;=_TM2,OR(TH!L178="1111",TH!M178="1111")),TH!D178,""),"")</f>
        <v/>
      </c>
      <c r="B178" s="36" t="str">
        <f t="shared" ref="B178:B241" si="6">IF(C178&lt;&gt;"",MONTH(C178),"")</f>
        <v/>
      </c>
      <c r="C178" s="187"/>
      <c r="D178" s="180"/>
      <c r="E178" s="187"/>
      <c r="F178" s="185"/>
      <c r="G178" s="854"/>
      <c r="H178" s="189"/>
      <c r="I178" s="249"/>
      <c r="J178" s="249"/>
      <c r="K178" s="589"/>
      <c r="L178" s="590"/>
      <c r="M178" s="590"/>
      <c r="N178" s="50" t="str">
        <f>IF(AND('331-CT'!$E$7=TH!H178,OR(L178="331",M178="331")),"331",IF(AND(OR(L178="131",M178="131"),H178='131-CT'!$E$7),"131",""))</f>
        <v/>
      </c>
      <c r="O178" s="50" t="str">
        <f>IF(AND($B178&gt;='111'!$N$11,$B178&lt;='111'!$O$11,OR($L178=$O$7,$M178=$O$7)),"x","")</f>
        <v/>
      </c>
      <c r="P178" s="50" t="str">
        <f>IF(AND($L178=$O$7,$B178&lt;'111'!$N$11),"x","")</f>
        <v/>
      </c>
      <c r="Q178" s="50" t="str">
        <f>IF(AND($M178=$O$7,$B178&lt;'111'!$N$11),"x","")</f>
        <v/>
      </c>
      <c r="R178" s="50" t="str">
        <f>IF(ISERROR(FIND('112'!$M$9,G178,1)),"",IF((AND(FIND('112'!$M$9,G178,1)&gt;=1,$B178&gt;='112'!$N$8,$B178&lt;='112'!$O$8,OR($L178='112'!$I$6,$M178='112'!$I$6))),"x",""))</f>
        <v/>
      </c>
      <c r="S178" s="50" t="str">
        <f>IF(ISERROR(FIND('112'!$M$9,G178,1)),"",IF((AND(LEFT(G178,2)=LEFT('112'!$M$9,2),B178&lt;'112'!$N$8,$L178='112'!$I$6)),"x",""))</f>
        <v/>
      </c>
      <c r="T178" s="50" t="str">
        <f>IF(ISERROR(FIND('112'!$M$9,G178,1)),"",IF((AND(RIGHT(G178,2)=RIGHT('112'!$M$9,2),B178&lt;'112'!$N$8,$M178='112'!$I$6)),"x",""))</f>
        <v/>
      </c>
      <c r="U178" s="50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0" t="str">
        <f>IF(OR(TH!L178=TH!$V$7,M178=TH!$V$7),"x","")</f>
        <v/>
      </c>
      <c r="W178" s="50" t="str">
        <f>IF(AND(B178&gt;='IN-NX'!$P$3,B178&lt;='IN-NX'!$Q$3,'IN-NX'!$D$7=D178,OR(LEFT(L178,2)="15",AND(LEFT(M178,2)&lt;&gt;"15",LEFT(M178,2)&lt;&gt;"33"))),"x","")</f>
        <v/>
      </c>
      <c r="X178" s="50" t="str">
        <f>IF(AND(OR(LEFT(TH!L178,2)="15",LEFT(TH!M178,2)="15"),'152-CT'!$J$8=TH!F178),"x","")</f>
        <v/>
      </c>
      <c r="Y178" s="50" t="str">
        <f>IF(AND(OR(LEFT(TH!L178,2)="15",LEFT(TH!M178,2)="15"),TK!$E$7=TH!F178),"x","")</f>
        <v/>
      </c>
      <c r="Z178" s="50" t="str">
        <f>IF(AND(B178&lt;=NKC!$N$8,B178&gt;=NKC!$M$8),"x","")</f>
        <v/>
      </c>
      <c r="AA178" s="845"/>
      <c r="AC178" s="201"/>
      <c r="AD178" s="201"/>
    </row>
    <row r="179" spans="1:30" s="581" customFormat="1" ht="15.75" customHeight="1">
      <c r="A179" s="846" t="str">
        <f>IF(B179&lt;&gt;"",IF(AND(B179&gt;=_TM1,B179&lt;=_TM2,OR(TH!L179="1111",TH!M179="1111")),TH!D179,""),"")</f>
        <v/>
      </c>
      <c r="B179" s="36" t="str">
        <f t="shared" si="6"/>
        <v/>
      </c>
      <c r="C179" s="187"/>
      <c r="D179" s="180"/>
      <c r="E179" s="187"/>
      <c r="F179" s="185"/>
      <c r="G179" s="854"/>
      <c r="H179" s="189"/>
      <c r="I179" s="249"/>
      <c r="J179" s="249"/>
      <c r="K179" s="589"/>
      <c r="L179" s="590"/>
      <c r="M179" s="590"/>
      <c r="N179" s="50" t="str">
        <f>IF(AND('331-CT'!$E$7=TH!H179,OR(L179="331",M179="331")),"331",IF(AND(OR(L179="131",M179="131"),H179='131-CT'!$E$7),"131",""))</f>
        <v/>
      </c>
      <c r="O179" s="50" t="str">
        <f>IF(AND($B179&gt;='111'!$N$11,$B179&lt;='111'!$O$11,OR($L179=$O$7,$M179=$O$7)),"x","")</f>
        <v/>
      </c>
      <c r="P179" s="50" t="str">
        <f>IF(AND($L179=$O$7,$B179&lt;'111'!$N$11),"x","")</f>
        <v/>
      </c>
      <c r="Q179" s="50" t="str">
        <f>IF(AND($M179=$O$7,$B179&lt;'111'!$N$11),"x","")</f>
        <v/>
      </c>
      <c r="R179" s="50" t="str">
        <f>IF(ISERROR(FIND('112'!$M$9,G179,1)),"",IF((AND(FIND('112'!$M$9,G179,1)&gt;=1,$B179&gt;='112'!$N$8,$B179&lt;='112'!$O$8,OR($L179='112'!$I$6,$M179='112'!$I$6))),"x",""))</f>
        <v/>
      </c>
      <c r="S179" s="50" t="str">
        <f>IF(ISERROR(FIND('112'!$M$9,G179,1)),"",IF((AND(LEFT(G179,2)=LEFT('112'!$M$9,2),B179&lt;'112'!$N$8,$L179='112'!$I$6)),"x",""))</f>
        <v/>
      </c>
      <c r="T179" s="50" t="str">
        <f>IF(ISERROR(FIND('112'!$M$9,G179,1)),"",IF((AND(RIGHT(G179,2)=RIGHT('112'!$M$9,2),B179&lt;'112'!$N$8,$M179='112'!$I$6)),"x",""))</f>
        <v/>
      </c>
      <c r="U179" s="50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0" t="str">
        <f>IF(OR(TH!L179=TH!$V$7,M179=TH!$V$7),"x","")</f>
        <v/>
      </c>
      <c r="W179" s="50" t="str">
        <f>IF(AND(B179&gt;='IN-NX'!$P$3,B179&lt;='IN-NX'!$Q$3,'IN-NX'!$D$7=D179,OR(LEFT(L179,2)="15",AND(LEFT(M179,2)&lt;&gt;"15",LEFT(M179,2)&lt;&gt;"33"))),"x","")</f>
        <v/>
      </c>
      <c r="X179" s="50" t="str">
        <f>IF(AND(OR(LEFT(TH!L179,2)="15",LEFT(TH!M179,2)="15"),'152-CT'!$J$8=TH!F179),"x","")</f>
        <v/>
      </c>
      <c r="Y179" s="50" t="str">
        <f>IF(AND(OR(LEFT(TH!L179,2)="15",LEFT(TH!M179,2)="15"),TK!$E$7=TH!F179),"x","")</f>
        <v/>
      </c>
      <c r="Z179" s="50" t="str">
        <f>IF(AND(B179&lt;=NKC!$N$8,B179&gt;=NKC!$M$8),"x","")</f>
        <v/>
      </c>
      <c r="AA179" s="845"/>
      <c r="AC179" s="201"/>
      <c r="AD179" s="201"/>
    </row>
    <row r="180" spans="1:30" s="581" customFormat="1" ht="15.75" customHeight="1">
      <c r="A180" s="846" t="str">
        <f>IF(B180&lt;&gt;"",IF(AND(B180&gt;=_TM1,B180&lt;=_TM2,OR(TH!L180="1111",TH!M180="1111")),TH!D180,""),"")</f>
        <v/>
      </c>
      <c r="B180" s="36" t="str">
        <f t="shared" si="6"/>
        <v/>
      </c>
      <c r="C180" s="187"/>
      <c r="D180" s="180"/>
      <c r="E180" s="187"/>
      <c r="F180" s="185"/>
      <c r="G180" s="854"/>
      <c r="H180" s="189"/>
      <c r="I180" s="249"/>
      <c r="J180" s="249"/>
      <c r="K180" s="589"/>
      <c r="L180" s="590"/>
      <c r="M180" s="590"/>
      <c r="N180" s="50" t="str">
        <f>IF(AND('331-CT'!$E$7=TH!H180,OR(L180="331",M180="331")),"331",IF(AND(OR(L180="131",M180="131"),H180='131-CT'!$E$7),"131",""))</f>
        <v/>
      </c>
      <c r="O180" s="50" t="str">
        <f>IF(AND($B180&gt;='111'!$N$11,$B180&lt;='111'!$O$11,OR($L180=$O$7,$M180=$O$7)),"x","")</f>
        <v/>
      </c>
      <c r="P180" s="50" t="str">
        <f>IF(AND($L180=$O$7,$B180&lt;'111'!$N$11),"x","")</f>
        <v/>
      </c>
      <c r="Q180" s="50" t="str">
        <f>IF(AND($M180=$O$7,$B180&lt;'111'!$N$11),"x","")</f>
        <v/>
      </c>
      <c r="R180" s="50" t="str">
        <f>IF(ISERROR(FIND('112'!$M$9,G180,1)),"",IF((AND(FIND('112'!$M$9,G180,1)&gt;=1,$B180&gt;='112'!$N$8,$B180&lt;='112'!$O$8,OR($L180='112'!$I$6,$M180='112'!$I$6))),"x",""))</f>
        <v/>
      </c>
      <c r="S180" s="50" t="str">
        <f>IF(ISERROR(FIND('112'!$M$9,G180,1)),"",IF((AND(LEFT(G180,2)=LEFT('112'!$M$9,2),B180&lt;'112'!$N$8,$L180='112'!$I$6)),"x",""))</f>
        <v/>
      </c>
      <c r="T180" s="50" t="str">
        <f>IF(ISERROR(FIND('112'!$M$9,G180,1)),"",IF((AND(RIGHT(G180,2)=RIGHT('112'!$M$9,2),B180&lt;'112'!$N$8,$M180='112'!$I$6)),"x",""))</f>
        <v/>
      </c>
      <c r="U180" s="50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0" t="str">
        <f>IF(OR(TH!L180=TH!$V$7,M180=TH!$V$7),"x","")</f>
        <v/>
      </c>
      <c r="W180" s="50" t="str">
        <f>IF(AND(B180&gt;='IN-NX'!$P$3,B180&lt;='IN-NX'!$Q$3,'IN-NX'!$D$7=D180,OR(LEFT(L180,2)="15",AND(LEFT(M180,2)&lt;&gt;"15",LEFT(M180,2)&lt;&gt;"33"))),"x","")</f>
        <v/>
      </c>
      <c r="X180" s="50" t="str">
        <f>IF(AND(OR(LEFT(TH!L180,2)="15",LEFT(TH!M180,2)="15"),'152-CT'!$J$8=TH!F180),"x","")</f>
        <v/>
      </c>
      <c r="Y180" s="50" t="str">
        <f>IF(AND(OR(LEFT(TH!L180,2)="15",LEFT(TH!M180,2)="15"),TK!$E$7=TH!F180),"x","")</f>
        <v/>
      </c>
      <c r="Z180" s="50" t="str">
        <f>IF(AND(B180&lt;=NKC!$N$8,B180&gt;=NKC!$M$8),"x","")</f>
        <v/>
      </c>
      <c r="AA180" s="845"/>
      <c r="AC180" s="201"/>
      <c r="AD180" s="201"/>
    </row>
    <row r="181" spans="1:30" s="201" customFormat="1" ht="15.75" customHeight="1">
      <c r="A181" s="846" t="str">
        <f>IF(B181&lt;&gt;"",IF(AND(B181&gt;=_TM1,B181&lt;=_TM2,OR(TH!L181="1111",TH!M181="1111")),TH!D181,""),"")</f>
        <v/>
      </c>
      <c r="B181" s="36" t="str">
        <f t="shared" si="6"/>
        <v/>
      </c>
      <c r="C181" s="187"/>
      <c r="D181" s="187"/>
      <c r="E181" s="187"/>
      <c r="F181" s="185"/>
      <c r="G181" s="854"/>
      <c r="H181" s="189"/>
      <c r="I181" s="249"/>
      <c r="J181" s="249"/>
      <c r="K181" s="589"/>
      <c r="L181" s="590"/>
      <c r="M181" s="590"/>
      <c r="N181" s="50" t="str">
        <f>IF(AND('331-CT'!$E$7=TH!H181,OR(L181="331",M181="331")),"331",IF(AND(OR(L181="131",M181="131"),H181='131-CT'!$E$7),"131",""))</f>
        <v/>
      </c>
      <c r="O181" s="50" t="str">
        <f>IF(AND($B181&gt;='111'!$N$11,$B181&lt;='111'!$O$11,OR($L181=$O$7,$M181=$O$7)),"x","")</f>
        <v/>
      </c>
      <c r="P181" s="50" t="str">
        <f>IF(AND($L181=$O$7,$B181&lt;'111'!$N$11),"x","")</f>
        <v/>
      </c>
      <c r="Q181" s="50" t="str">
        <f>IF(AND($M181=$O$7,$B181&lt;'111'!$N$11),"x","")</f>
        <v/>
      </c>
      <c r="R181" s="50" t="str">
        <f>IF(ISERROR(FIND('112'!$M$9,G181,1)),"",IF((AND(FIND('112'!$M$9,G181,1)&gt;=1,$B181&gt;='112'!$N$8,$B181&lt;='112'!$O$8,OR($L181='112'!$I$6,$M181='112'!$I$6))),"x",""))</f>
        <v/>
      </c>
      <c r="S181" s="50" t="str">
        <f>IF(ISERROR(FIND('112'!$M$9,G181,1)),"",IF((AND(LEFT(G181,2)=LEFT('112'!$M$9,2),B181&lt;'112'!$N$8,$L181='112'!$I$6)),"x",""))</f>
        <v/>
      </c>
      <c r="T181" s="50" t="str">
        <f>IF(ISERROR(FIND('112'!$M$9,G181,1)),"",IF((AND(RIGHT(G181,2)=RIGHT('112'!$M$9,2),B181&lt;'112'!$N$8,$M181='112'!$I$6)),"x",""))</f>
        <v/>
      </c>
      <c r="U181" s="50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0" t="str">
        <f>IF(OR(TH!L181=TH!$V$7,M181=TH!$V$7),"x","")</f>
        <v/>
      </c>
      <c r="W181" s="50" t="str">
        <f>IF(AND(B181&gt;='IN-NX'!$P$3,B181&lt;='IN-NX'!$Q$3,'IN-NX'!$D$7=D181,OR(LEFT(L181,2)="15",AND(LEFT(M181,2)&lt;&gt;"15",LEFT(M181,2)&lt;&gt;"33"))),"x","")</f>
        <v/>
      </c>
      <c r="X181" s="50" t="str">
        <f>IF(AND(OR(LEFT(TH!L181,2)="15",LEFT(TH!M181,2)="15"),'152-CT'!$J$8=TH!F181),"x","")</f>
        <v/>
      </c>
      <c r="Y181" s="50" t="str">
        <f>IF(AND(OR(LEFT(TH!L181,2)="15",LEFT(TH!M181,2)="15"),TK!$E$7=TH!F181),"x","")</f>
        <v/>
      </c>
      <c r="Z181" s="50" t="str">
        <f>IF(AND(B181&lt;=NKC!$N$8,B181&gt;=NKC!$M$8),"x","")</f>
        <v/>
      </c>
      <c r="AA181" s="845"/>
      <c r="AB181" s="581"/>
    </row>
    <row r="182" spans="1:30" s="201" customFormat="1" ht="15.75" customHeight="1">
      <c r="A182" s="846" t="str">
        <f>IF(B182&lt;&gt;"",IF(AND(B182&gt;=_TM1,B182&lt;=_TM2,OR(TH!L182="1111",TH!M182="1111")),TH!D182,""),"")</f>
        <v/>
      </c>
      <c r="B182" s="36" t="str">
        <f t="shared" si="6"/>
        <v/>
      </c>
      <c r="C182" s="187"/>
      <c r="D182" s="187"/>
      <c r="E182" s="187"/>
      <c r="F182" s="185"/>
      <c r="G182" s="854"/>
      <c r="H182" s="189"/>
      <c r="I182" s="249"/>
      <c r="J182" s="249"/>
      <c r="K182" s="589"/>
      <c r="L182" s="590"/>
      <c r="M182" s="590"/>
      <c r="N182" s="50" t="str">
        <f>IF(AND('331-CT'!$E$7=TH!H182,OR(L182="331",M182="331")),"331",IF(AND(OR(L182="131",M182="131"),H182='131-CT'!$E$7),"131",""))</f>
        <v/>
      </c>
      <c r="O182" s="50" t="str">
        <f>IF(AND($B182&gt;='111'!$N$11,$B182&lt;='111'!$O$11,OR($L182=$O$7,$M182=$O$7)),"x","")</f>
        <v/>
      </c>
      <c r="P182" s="50" t="str">
        <f>IF(AND($L182=$O$7,$B182&lt;'111'!$N$11),"x","")</f>
        <v/>
      </c>
      <c r="Q182" s="50" t="str">
        <f>IF(AND($M182=$O$7,$B182&lt;'111'!$N$11),"x","")</f>
        <v/>
      </c>
      <c r="R182" s="50" t="str">
        <f>IF(ISERROR(FIND('112'!$M$9,G182,1)),"",IF((AND(FIND('112'!$M$9,G182,1)&gt;=1,$B182&gt;='112'!$N$8,$B182&lt;='112'!$O$8,OR($L182='112'!$I$6,$M182='112'!$I$6))),"x",""))</f>
        <v/>
      </c>
      <c r="S182" s="50" t="str">
        <f>IF(ISERROR(FIND('112'!$M$9,G182,1)),"",IF((AND(LEFT(G182,2)=LEFT('112'!$M$9,2),B182&lt;'112'!$N$8,$L182='112'!$I$6)),"x",""))</f>
        <v/>
      </c>
      <c r="T182" s="50" t="str">
        <f>IF(ISERROR(FIND('112'!$M$9,G182,1)),"",IF((AND(RIGHT(G182,2)=RIGHT('112'!$M$9,2),B182&lt;'112'!$N$8,$M182='112'!$I$6)),"x",""))</f>
        <v/>
      </c>
      <c r="U182" s="50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0" t="str">
        <f>IF(OR(TH!L182=TH!$V$7,M182=TH!$V$7),"x","")</f>
        <v/>
      </c>
      <c r="W182" s="50" t="str">
        <f>IF(AND(B182&gt;='IN-NX'!$P$3,B182&lt;='IN-NX'!$Q$3,'IN-NX'!$D$7=D182,OR(LEFT(L182,2)="15",AND(LEFT(M182,2)&lt;&gt;"15",LEFT(M182,2)&lt;&gt;"33"))),"x","")</f>
        <v/>
      </c>
      <c r="X182" s="50" t="str">
        <f>IF(AND(OR(LEFT(TH!L182,2)="15",LEFT(TH!M182,2)="15"),'152-CT'!$J$8=TH!F182),"x","")</f>
        <v/>
      </c>
      <c r="Y182" s="50" t="str">
        <f>IF(AND(OR(LEFT(TH!L182,2)="15",LEFT(TH!M182,2)="15"),TK!$E$7=TH!F182),"x","")</f>
        <v/>
      </c>
      <c r="Z182" s="50" t="str">
        <f>IF(AND(B182&lt;=NKC!$N$8,B182&gt;=NKC!$M$8),"x","")</f>
        <v/>
      </c>
      <c r="AA182" s="845"/>
    </row>
    <row r="183" spans="1:30" s="201" customFormat="1" ht="15.75" customHeight="1">
      <c r="A183" s="846" t="str">
        <f>IF(B183&lt;&gt;"",IF(AND(B183&gt;=_TM1,B183&lt;=_TM2,OR(TH!L183="1111",TH!M183="1111")),TH!D183,""),"")</f>
        <v/>
      </c>
      <c r="B183" s="36" t="str">
        <f t="shared" si="6"/>
        <v/>
      </c>
      <c r="C183" s="187"/>
      <c r="D183" s="187"/>
      <c r="E183" s="187"/>
      <c r="F183" s="188"/>
      <c r="G183" s="854"/>
      <c r="H183" s="189"/>
      <c r="I183" s="249"/>
      <c r="J183" s="249"/>
      <c r="K183" s="589"/>
      <c r="L183" s="590"/>
      <c r="M183" s="590"/>
      <c r="N183" s="50" t="str">
        <f>IF(AND('331-CT'!$E$7=TH!H183,OR(L183="331",M183="331")),"331",IF(AND(OR(L183="131",M183="131"),H183='131-CT'!$E$7),"131",""))</f>
        <v/>
      </c>
      <c r="O183" s="50" t="str">
        <f>IF(AND($B183&gt;='111'!$N$11,$B183&lt;='111'!$O$11,OR($L183=$O$7,$M183=$O$7)),"x","")</f>
        <v/>
      </c>
      <c r="P183" s="50" t="str">
        <f>IF(AND($L183=$O$7,$B183&lt;'111'!$N$11),"x","")</f>
        <v/>
      </c>
      <c r="Q183" s="50" t="str">
        <f>IF(AND($M183=$O$7,$B183&lt;'111'!$N$11),"x","")</f>
        <v/>
      </c>
      <c r="R183" s="50" t="str">
        <f>IF(ISERROR(FIND('112'!$M$9,G183,1)),"",IF((AND(FIND('112'!$M$9,G183,1)&gt;=1,$B183&gt;='112'!$N$8,$B183&lt;='112'!$O$8,OR($L183='112'!$I$6,$M183='112'!$I$6))),"x",""))</f>
        <v/>
      </c>
      <c r="S183" s="50" t="str">
        <f>IF(ISERROR(FIND('112'!$M$9,G183,1)),"",IF((AND(LEFT(G183,2)=LEFT('112'!$M$9,2),B183&lt;'112'!$N$8,$L183='112'!$I$6)),"x",""))</f>
        <v/>
      </c>
      <c r="T183" s="50" t="str">
        <f>IF(ISERROR(FIND('112'!$M$9,G183,1)),"",IF((AND(RIGHT(G183,2)=RIGHT('112'!$M$9,2),B183&lt;'112'!$N$8,$M183='112'!$I$6)),"x",""))</f>
        <v/>
      </c>
      <c r="U183" s="50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0" t="str">
        <f>IF(OR(TH!L183=TH!$V$7,M183=TH!$V$7),"x","")</f>
        <v/>
      </c>
      <c r="W183" s="50" t="str">
        <f>IF(AND(B183&gt;='IN-NX'!$P$3,B183&lt;='IN-NX'!$Q$3,'IN-NX'!$D$7=D183,OR(LEFT(L183,2)="15",AND(LEFT(M183,2)&lt;&gt;"15",LEFT(M183,2)&lt;&gt;"33"))),"x","")</f>
        <v/>
      </c>
      <c r="X183" s="50" t="str">
        <f>IF(AND(OR(LEFT(TH!L183,2)="15",LEFT(TH!M183,2)="15"),'152-CT'!$J$8=TH!F183),"x","")</f>
        <v/>
      </c>
      <c r="Y183" s="50" t="str">
        <f>IF(AND(OR(LEFT(TH!L183,2)="15",LEFT(TH!M183,2)="15"),TK!$E$7=TH!F183),"x","")</f>
        <v/>
      </c>
      <c r="Z183" s="50" t="str">
        <f>IF(AND(B183&lt;=NKC!$N$8,B183&gt;=NKC!$M$8),"x","")</f>
        <v/>
      </c>
      <c r="AA183" s="845"/>
      <c r="AB183" s="581"/>
    </row>
    <row r="184" spans="1:30" s="201" customFormat="1" ht="15.75" customHeight="1">
      <c r="A184" s="846" t="str">
        <f>IF(B184&lt;&gt;"",IF(AND(B184&gt;=_TM1,B184&lt;=_TM2,OR(TH!L184="1111",TH!M184="1111")),TH!D184,""),"")</f>
        <v/>
      </c>
      <c r="B184" s="36" t="str">
        <f t="shared" si="6"/>
        <v/>
      </c>
      <c r="C184" s="187"/>
      <c r="D184" s="187"/>
      <c r="E184" s="187"/>
      <c r="F184" s="188"/>
      <c r="G184" s="854"/>
      <c r="H184" s="189"/>
      <c r="I184" s="249"/>
      <c r="J184" s="249"/>
      <c r="K184" s="589"/>
      <c r="L184" s="590"/>
      <c r="M184" s="590"/>
      <c r="N184" s="50" t="str">
        <f>IF(AND('331-CT'!$E$7=TH!H184,OR(L184="331",M184="331")),"331",IF(AND(OR(L184="131",M184="131"),H184='131-CT'!$E$7),"131",""))</f>
        <v/>
      </c>
      <c r="O184" s="50" t="str">
        <f>IF(AND($B184&gt;='111'!$N$11,$B184&lt;='111'!$O$11,OR($L184=$O$7,$M184=$O$7)),"x","")</f>
        <v/>
      </c>
      <c r="P184" s="50" t="str">
        <f>IF(AND($L184=$O$7,$B184&lt;'111'!$N$11),"x","")</f>
        <v/>
      </c>
      <c r="Q184" s="50" t="str">
        <f>IF(AND($M184=$O$7,$B184&lt;'111'!$N$11),"x","")</f>
        <v/>
      </c>
      <c r="R184" s="50" t="str">
        <f>IF(ISERROR(FIND('112'!$M$9,G184,1)),"",IF((AND(FIND('112'!$M$9,G184,1)&gt;=1,$B184&gt;='112'!$N$8,$B184&lt;='112'!$O$8,OR($L184='112'!$I$6,$M184='112'!$I$6))),"x",""))</f>
        <v/>
      </c>
      <c r="S184" s="50" t="str">
        <f>IF(ISERROR(FIND('112'!$M$9,G184,1)),"",IF((AND(LEFT(G184,2)=LEFT('112'!$M$9,2),B184&lt;'112'!$N$8,$L184='112'!$I$6)),"x",""))</f>
        <v/>
      </c>
      <c r="T184" s="50" t="str">
        <f>IF(ISERROR(FIND('112'!$M$9,G184,1)),"",IF((AND(RIGHT(G184,2)=RIGHT('112'!$M$9,2),B184&lt;'112'!$N$8,$M184='112'!$I$6)),"x",""))</f>
        <v/>
      </c>
      <c r="U184" s="50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0" t="str">
        <f>IF(OR(TH!L184=TH!$V$7,M184=TH!$V$7),"x","")</f>
        <v/>
      </c>
      <c r="W184" s="50" t="str">
        <f>IF(AND(B184&gt;='IN-NX'!$P$3,B184&lt;='IN-NX'!$Q$3,'IN-NX'!$D$7=D184,OR(LEFT(L184,2)="15",AND(LEFT(M184,2)&lt;&gt;"15",LEFT(M184,2)&lt;&gt;"33"))),"x","")</f>
        <v/>
      </c>
      <c r="X184" s="50" t="str">
        <f>IF(AND(OR(LEFT(TH!L184,2)="15",LEFT(TH!M184,2)="15"),'152-CT'!$J$8=TH!F184),"x","")</f>
        <v/>
      </c>
      <c r="Y184" s="50" t="str">
        <f>IF(AND(OR(LEFT(TH!L184,2)="15",LEFT(TH!M184,2)="15"),TK!$E$7=TH!F184),"x","")</f>
        <v/>
      </c>
      <c r="Z184" s="50" t="str">
        <f>IF(AND(B184&lt;=NKC!$N$8,B184&gt;=NKC!$M$8),"x","")</f>
        <v/>
      </c>
      <c r="AA184" s="845"/>
      <c r="AB184" s="581"/>
      <c r="AC184" s="581"/>
      <c r="AD184" s="581"/>
    </row>
    <row r="185" spans="1:30" s="201" customFormat="1" ht="15.75" customHeight="1">
      <c r="A185" s="846" t="str">
        <f>IF(B185&lt;&gt;"",IF(AND(B185&gt;=_TM1,B185&lt;=_TM2,OR(TH!L185="1111",TH!M185="1111")),TH!D185,""),"")</f>
        <v/>
      </c>
      <c r="B185" s="36" t="str">
        <f t="shared" si="6"/>
        <v/>
      </c>
      <c r="C185" s="187"/>
      <c r="D185" s="187"/>
      <c r="E185" s="187"/>
      <c r="F185" s="188"/>
      <c r="G185" s="854"/>
      <c r="H185" s="189"/>
      <c r="I185" s="249"/>
      <c r="J185" s="249"/>
      <c r="K185" s="589"/>
      <c r="L185" s="590"/>
      <c r="M185" s="590"/>
      <c r="N185" s="50" t="str">
        <f>IF(AND('331-CT'!$E$7=TH!H185,OR(L185="331",M185="331")),"331",IF(AND(OR(L185="131",M185="131"),H185='131-CT'!$E$7),"131",""))</f>
        <v/>
      </c>
      <c r="O185" s="50" t="str">
        <f>IF(AND($B185&gt;='111'!$N$11,$B185&lt;='111'!$O$11,OR($L185=$O$7,$M185=$O$7)),"x","")</f>
        <v/>
      </c>
      <c r="P185" s="50" t="str">
        <f>IF(AND($L185=$O$7,$B185&lt;'111'!$N$11),"x","")</f>
        <v/>
      </c>
      <c r="Q185" s="50" t="str">
        <f>IF(AND($M185=$O$7,$B185&lt;'111'!$N$11),"x","")</f>
        <v/>
      </c>
      <c r="R185" s="50" t="str">
        <f>IF(ISERROR(FIND('112'!$M$9,G185,1)),"",IF((AND(FIND('112'!$M$9,G185,1)&gt;=1,$B185&gt;='112'!$N$8,$B185&lt;='112'!$O$8,OR($L185='112'!$I$6,$M185='112'!$I$6))),"x",""))</f>
        <v/>
      </c>
      <c r="S185" s="50" t="str">
        <f>IF(ISERROR(FIND('112'!$M$9,G185,1)),"",IF((AND(LEFT(G185,2)=LEFT('112'!$M$9,2),B185&lt;'112'!$N$8,$L185='112'!$I$6)),"x",""))</f>
        <v/>
      </c>
      <c r="T185" s="50" t="str">
        <f>IF(ISERROR(FIND('112'!$M$9,G185,1)),"",IF((AND(RIGHT(G185,2)=RIGHT('112'!$M$9,2),B185&lt;'112'!$N$8,$M185='112'!$I$6)),"x",""))</f>
        <v/>
      </c>
      <c r="U185" s="50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0" t="str">
        <f>IF(OR(TH!L185=TH!$V$7,M185=TH!$V$7),"x","")</f>
        <v/>
      </c>
      <c r="W185" s="50" t="str">
        <f>IF(AND(B185&gt;='IN-NX'!$P$3,B185&lt;='IN-NX'!$Q$3,'IN-NX'!$D$7=D185,OR(LEFT(L185,2)="15",AND(LEFT(M185,2)&lt;&gt;"15",LEFT(M185,2)&lt;&gt;"33"))),"x","")</f>
        <v/>
      </c>
      <c r="X185" s="50" t="str">
        <f>IF(AND(OR(LEFT(TH!L185,2)="15",LEFT(TH!M185,2)="15"),'152-CT'!$J$8=TH!F185),"x","")</f>
        <v/>
      </c>
      <c r="Y185" s="50" t="str">
        <f>IF(AND(OR(LEFT(TH!L185,2)="15",LEFT(TH!M185,2)="15"),TK!$E$7=TH!F185),"x","")</f>
        <v/>
      </c>
      <c r="Z185" s="50" t="str">
        <f>IF(AND(B185&lt;=NKC!$N$8,B185&gt;=NKC!$M$8),"x","")</f>
        <v/>
      </c>
      <c r="AA185" s="845"/>
      <c r="AB185" s="581"/>
      <c r="AC185" s="581"/>
      <c r="AD185" s="581"/>
    </row>
    <row r="186" spans="1:30" s="581" customFormat="1" ht="15.75" customHeight="1">
      <c r="A186" s="846" t="str">
        <f>IF(B186&lt;&gt;"",IF(AND(B186&gt;=_TM1,B186&lt;=_TM2,OR(TH!L186="1111",TH!M186="1111")),TH!D186,""),"")</f>
        <v/>
      </c>
      <c r="B186" s="36" t="str">
        <f t="shared" si="6"/>
        <v/>
      </c>
      <c r="C186" s="187"/>
      <c r="D186" s="187"/>
      <c r="E186" s="187"/>
      <c r="F186" s="188"/>
      <c r="G186" s="854"/>
      <c r="H186" s="189"/>
      <c r="I186" s="249"/>
      <c r="J186" s="249"/>
      <c r="K186" s="589"/>
      <c r="L186" s="590"/>
      <c r="M186" s="590"/>
      <c r="N186" s="50" t="str">
        <f>IF(AND('331-CT'!$E$7=TH!H186,OR(L186="331",M186="331")),"331",IF(AND(OR(L186="131",M186="131"),H186='131-CT'!$E$7),"131",""))</f>
        <v/>
      </c>
      <c r="O186" s="50" t="str">
        <f>IF(AND($B186&gt;='111'!$N$11,$B186&lt;='111'!$O$11,OR($L186=$O$7,$M186=$O$7)),"x","")</f>
        <v/>
      </c>
      <c r="P186" s="50" t="str">
        <f>IF(AND($L186=$O$7,$B186&lt;'111'!$N$11),"x","")</f>
        <v/>
      </c>
      <c r="Q186" s="50" t="str">
        <f>IF(AND($M186=$O$7,$B186&lt;'111'!$N$11),"x","")</f>
        <v/>
      </c>
      <c r="R186" s="50" t="str">
        <f>IF(ISERROR(FIND('112'!$M$9,G186,1)),"",IF((AND(FIND('112'!$M$9,G186,1)&gt;=1,$B186&gt;='112'!$N$8,$B186&lt;='112'!$O$8,OR($L186='112'!$I$6,$M186='112'!$I$6))),"x",""))</f>
        <v/>
      </c>
      <c r="S186" s="50" t="str">
        <f>IF(ISERROR(FIND('112'!$M$9,G186,1)),"",IF((AND(LEFT(G186,2)=LEFT('112'!$M$9,2),B186&lt;'112'!$N$8,$L186='112'!$I$6)),"x",""))</f>
        <v/>
      </c>
      <c r="T186" s="50" t="str">
        <f>IF(ISERROR(FIND('112'!$M$9,G186,1)),"",IF((AND(RIGHT(G186,2)=RIGHT('112'!$M$9,2),B186&lt;'112'!$N$8,$M186='112'!$I$6)),"x",""))</f>
        <v/>
      </c>
      <c r="U186" s="50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0" t="str">
        <f>IF(OR(TH!L186=TH!$V$7,M186=TH!$V$7),"x","")</f>
        <v/>
      </c>
      <c r="W186" s="50" t="str">
        <f>IF(AND(B186&gt;='IN-NX'!$P$3,B186&lt;='IN-NX'!$Q$3,'IN-NX'!$D$7=D186,OR(LEFT(L186,2)="15",AND(LEFT(M186,2)&lt;&gt;"15",LEFT(M186,2)&lt;&gt;"33"))),"x","")</f>
        <v/>
      </c>
      <c r="X186" s="50" t="str">
        <f>IF(AND(OR(LEFT(TH!L186,2)="15",LEFT(TH!M186,2)="15"),'152-CT'!$J$8=TH!F186),"x","")</f>
        <v/>
      </c>
      <c r="Y186" s="50" t="str">
        <f>IF(AND(OR(LEFT(TH!L186,2)="15",LEFT(TH!M186,2)="15"),TK!$E$7=TH!F186),"x","")</f>
        <v/>
      </c>
      <c r="Z186" s="50" t="str">
        <f>IF(AND(B186&lt;=NKC!$N$8,B186&gt;=NKC!$M$8),"x","")</f>
        <v/>
      </c>
      <c r="AA186" s="845"/>
    </row>
    <row r="187" spans="1:30" s="581" customFormat="1" ht="15.75" customHeight="1">
      <c r="A187" s="846" t="str">
        <f>IF(B187&lt;&gt;"",IF(AND(B187&gt;=_TM1,B187&lt;=_TM2,OR(TH!L187="1111",TH!M187="1111")),TH!D187,""),"")</f>
        <v/>
      </c>
      <c r="B187" s="36" t="str">
        <f t="shared" si="6"/>
        <v/>
      </c>
      <c r="C187" s="187"/>
      <c r="D187" s="187"/>
      <c r="E187" s="187"/>
      <c r="F187" s="188"/>
      <c r="G187" s="854"/>
      <c r="H187" s="189"/>
      <c r="I187" s="249"/>
      <c r="J187" s="249"/>
      <c r="K187" s="589"/>
      <c r="L187" s="590"/>
      <c r="M187" s="590"/>
      <c r="N187" s="50" t="str">
        <f>IF(AND('331-CT'!$E$7=TH!H187,OR(L187="331",M187="331")),"331",IF(AND(OR(L187="131",M187="131"),H187='131-CT'!$E$7),"131",""))</f>
        <v/>
      </c>
      <c r="O187" s="50" t="str">
        <f>IF(AND($B187&gt;='111'!$N$11,$B187&lt;='111'!$O$11,OR($L187=$O$7,$M187=$O$7)),"x","")</f>
        <v/>
      </c>
      <c r="P187" s="50" t="str">
        <f>IF(AND($L187=$O$7,$B187&lt;'111'!$N$11),"x","")</f>
        <v/>
      </c>
      <c r="Q187" s="50" t="str">
        <f>IF(AND($M187=$O$7,$B187&lt;'111'!$N$11),"x","")</f>
        <v/>
      </c>
      <c r="R187" s="50" t="str">
        <f>IF(ISERROR(FIND('112'!$M$9,G187,1)),"",IF((AND(FIND('112'!$M$9,G187,1)&gt;=1,$B187&gt;='112'!$N$8,$B187&lt;='112'!$O$8,OR($L187='112'!$I$6,$M187='112'!$I$6))),"x",""))</f>
        <v/>
      </c>
      <c r="S187" s="50" t="str">
        <f>IF(ISERROR(FIND('112'!$M$9,G187,1)),"",IF((AND(LEFT(G187,2)=LEFT('112'!$M$9,2),B187&lt;'112'!$N$8,$L187='112'!$I$6)),"x",""))</f>
        <v/>
      </c>
      <c r="T187" s="50" t="str">
        <f>IF(ISERROR(FIND('112'!$M$9,G187,1)),"",IF((AND(RIGHT(G187,2)=RIGHT('112'!$M$9,2),B187&lt;'112'!$N$8,$M187='112'!$I$6)),"x",""))</f>
        <v/>
      </c>
      <c r="U187" s="50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0" t="str">
        <f>IF(OR(TH!L187=TH!$V$7,M187=TH!$V$7),"x","")</f>
        <v/>
      </c>
      <c r="W187" s="50" t="str">
        <f>IF(AND(B187&gt;='IN-NX'!$P$3,B187&lt;='IN-NX'!$Q$3,'IN-NX'!$D$7=D187,OR(LEFT(L187,2)="15",AND(LEFT(M187,2)&lt;&gt;"15",LEFT(M187,2)&lt;&gt;"33"))),"x","")</f>
        <v/>
      </c>
      <c r="X187" s="50" t="str">
        <f>IF(AND(OR(LEFT(TH!L187,2)="15",LEFT(TH!M187,2)="15"),'152-CT'!$J$8=TH!F187),"x","")</f>
        <v/>
      </c>
      <c r="Y187" s="50" t="str">
        <f>IF(AND(OR(LEFT(TH!L187,2)="15",LEFT(TH!M187,2)="15"),TK!$E$7=TH!F187),"x","")</f>
        <v/>
      </c>
      <c r="Z187" s="50" t="str">
        <f>IF(AND(B187&lt;=NKC!$N$8,B187&gt;=NKC!$M$8),"x","")</f>
        <v/>
      </c>
      <c r="AA187" s="845"/>
      <c r="AC187" s="201"/>
      <c r="AD187" s="201"/>
    </row>
    <row r="188" spans="1:30" s="581" customFormat="1" ht="15.75" customHeight="1">
      <c r="A188" s="846" t="str">
        <f>IF(B188&lt;&gt;"",IF(AND(B188&gt;=_TM1,B188&lt;=_TM2,OR(TH!L188="1111",TH!M188="1111")),TH!D188,""),"")</f>
        <v/>
      </c>
      <c r="B188" s="36" t="str">
        <f t="shared" si="6"/>
        <v/>
      </c>
      <c r="C188" s="187"/>
      <c r="D188" s="187"/>
      <c r="E188" s="187"/>
      <c r="F188" s="188"/>
      <c r="G188" s="854"/>
      <c r="H188" s="189"/>
      <c r="I188" s="249"/>
      <c r="J188" s="249"/>
      <c r="K188" s="589"/>
      <c r="L188" s="590"/>
      <c r="M188" s="590"/>
      <c r="N188" s="50" t="str">
        <f>IF(AND('331-CT'!$E$7=TH!H188,OR(L188="331",M188="331")),"331",IF(AND(OR(L188="131",M188="131"),H188='131-CT'!$E$7),"131",""))</f>
        <v/>
      </c>
      <c r="O188" s="50" t="str">
        <f>IF(AND($B188&gt;='111'!$N$11,$B188&lt;='111'!$O$11,OR($L188=$O$7,$M188=$O$7)),"x","")</f>
        <v/>
      </c>
      <c r="P188" s="50" t="str">
        <f>IF(AND($L188=$O$7,$B188&lt;'111'!$N$11),"x","")</f>
        <v/>
      </c>
      <c r="Q188" s="50" t="str">
        <f>IF(AND($M188=$O$7,$B188&lt;'111'!$N$11),"x","")</f>
        <v/>
      </c>
      <c r="R188" s="50" t="str">
        <f>IF(ISERROR(FIND('112'!$M$9,G188,1)),"",IF((AND(FIND('112'!$M$9,G188,1)&gt;=1,$B188&gt;='112'!$N$8,$B188&lt;='112'!$O$8,OR($L188='112'!$I$6,$M188='112'!$I$6))),"x",""))</f>
        <v/>
      </c>
      <c r="S188" s="50" t="str">
        <f>IF(ISERROR(FIND('112'!$M$9,G188,1)),"",IF((AND(LEFT(G188,2)=LEFT('112'!$M$9,2),B188&lt;'112'!$N$8,$L188='112'!$I$6)),"x",""))</f>
        <v/>
      </c>
      <c r="T188" s="50" t="str">
        <f>IF(ISERROR(FIND('112'!$M$9,G188,1)),"",IF((AND(RIGHT(G188,2)=RIGHT('112'!$M$9,2),B188&lt;'112'!$N$8,$M188='112'!$I$6)),"x",""))</f>
        <v/>
      </c>
      <c r="U188" s="50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0" t="str">
        <f>IF(OR(TH!L188=TH!$V$7,M188=TH!$V$7),"x","")</f>
        <v/>
      </c>
      <c r="W188" s="50" t="str">
        <f>IF(AND(B188&gt;='IN-NX'!$P$3,B188&lt;='IN-NX'!$Q$3,'IN-NX'!$D$7=D188,OR(LEFT(L188,2)="15",AND(LEFT(M188,2)&lt;&gt;"15",LEFT(M188,2)&lt;&gt;"33"))),"x","")</f>
        <v/>
      </c>
      <c r="X188" s="50" t="str">
        <f>IF(AND(OR(LEFT(TH!L188,2)="15",LEFT(TH!M188,2)="15"),'152-CT'!$J$8=TH!F188),"x","")</f>
        <v/>
      </c>
      <c r="Y188" s="50" t="str">
        <f>IF(AND(OR(LEFT(TH!L188,2)="15",LEFT(TH!M188,2)="15"),TK!$E$7=TH!F188),"x","")</f>
        <v/>
      </c>
      <c r="Z188" s="50" t="str">
        <f>IF(AND(B188&lt;=NKC!$N$8,B188&gt;=NKC!$M$8),"x","")</f>
        <v/>
      </c>
      <c r="AA188" s="845"/>
    </row>
    <row r="189" spans="1:30" s="581" customFormat="1" ht="15.75" customHeight="1">
      <c r="A189" s="846" t="str">
        <f>IF(B189&lt;&gt;"",IF(AND(B189&gt;=_TM1,B189&lt;=_TM2,OR(TH!L189="1111",TH!M189="1111")),TH!D189,""),"")</f>
        <v/>
      </c>
      <c r="B189" s="36" t="str">
        <f t="shared" si="6"/>
        <v/>
      </c>
      <c r="C189" s="187"/>
      <c r="D189" s="187"/>
      <c r="E189" s="187"/>
      <c r="F189" s="188"/>
      <c r="G189" s="854"/>
      <c r="H189" s="189"/>
      <c r="I189" s="249"/>
      <c r="J189" s="249"/>
      <c r="K189" s="589"/>
      <c r="L189" s="590"/>
      <c r="M189" s="590"/>
      <c r="N189" s="50" t="str">
        <f>IF(AND('331-CT'!$E$7=TH!H189,OR(L189="331",M189="331")),"331",IF(AND(OR(L189="131",M189="131"),H189='131-CT'!$E$7),"131",""))</f>
        <v/>
      </c>
      <c r="O189" s="50" t="str">
        <f>IF(AND($B189&gt;='111'!$N$11,$B189&lt;='111'!$O$11,OR($L189=$O$7,$M189=$O$7)),"x","")</f>
        <v/>
      </c>
      <c r="P189" s="50" t="str">
        <f>IF(AND($L189=$O$7,$B189&lt;'111'!$N$11),"x","")</f>
        <v/>
      </c>
      <c r="Q189" s="50" t="str">
        <f>IF(AND($M189=$O$7,$B189&lt;'111'!$N$11),"x","")</f>
        <v/>
      </c>
      <c r="R189" s="50" t="str">
        <f>IF(ISERROR(FIND('112'!$M$9,G189,1)),"",IF((AND(FIND('112'!$M$9,G189,1)&gt;=1,$B189&gt;='112'!$N$8,$B189&lt;='112'!$O$8,OR($L189='112'!$I$6,$M189='112'!$I$6))),"x",""))</f>
        <v/>
      </c>
      <c r="S189" s="50" t="str">
        <f>IF(ISERROR(FIND('112'!$M$9,G189,1)),"",IF((AND(LEFT(G189,2)=LEFT('112'!$M$9,2),B189&lt;'112'!$N$8,$L189='112'!$I$6)),"x",""))</f>
        <v/>
      </c>
      <c r="T189" s="50" t="str">
        <f>IF(ISERROR(FIND('112'!$M$9,G189,1)),"",IF((AND(RIGHT(G189,2)=RIGHT('112'!$M$9,2),B189&lt;'112'!$N$8,$M189='112'!$I$6)),"x",""))</f>
        <v/>
      </c>
      <c r="U189" s="50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0" t="str">
        <f>IF(OR(TH!L189=TH!$V$7,M189=TH!$V$7),"x","")</f>
        <v/>
      </c>
      <c r="W189" s="50" t="str">
        <f>IF(AND(B189&gt;='IN-NX'!$P$3,B189&lt;='IN-NX'!$Q$3,'IN-NX'!$D$7=D189,OR(LEFT(L189,2)="15",AND(LEFT(M189,2)&lt;&gt;"15",LEFT(M189,2)&lt;&gt;"33"))),"x","")</f>
        <v/>
      </c>
      <c r="X189" s="50" t="str">
        <f>IF(AND(OR(LEFT(TH!L189,2)="15",LEFT(TH!M189,2)="15"),'152-CT'!$J$8=TH!F189),"x","")</f>
        <v/>
      </c>
      <c r="Y189" s="50" t="str">
        <f>IF(AND(OR(LEFT(TH!L189,2)="15",LEFT(TH!M189,2)="15"),TK!$E$7=TH!F189),"x","")</f>
        <v/>
      </c>
      <c r="Z189" s="50" t="str">
        <f>IF(AND(B189&lt;=NKC!$N$8,B189&gt;=NKC!$M$8),"x","")</f>
        <v/>
      </c>
      <c r="AA189" s="845"/>
    </row>
    <row r="190" spans="1:30" s="581" customFormat="1" ht="15.75" customHeight="1">
      <c r="A190" s="846" t="str">
        <f>IF(B190&lt;&gt;"",IF(AND(B190&gt;=_TM1,B190&lt;=_TM2,OR(TH!L190="1111",TH!M190="1111")),TH!D190,""),"")</f>
        <v/>
      </c>
      <c r="B190" s="36" t="str">
        <f t="shared" si="6"/>
        <v/>
      </c>
      <c r="C190" s="187"/>
      <c r="D190" s="187"/>
      <c r="E190" s="187"/>
      <c r="F190" s="188"/>
      <c r="G190" s="854"/>
      <c r="H190" s="189"/>
      <c r="I190" s="249"/>
      <c r="J190" s="249"/>
      <c r="K190" s="589"/>
      <c r="L190" s="590"/>
      <c r="M190" s="590"/>
      <c r="N190" s="50" t="str">
        <f>IF(AND('331-CT'!$E$7=TH!H190,OR(L190="331",M190="331")),"331",IF(AND(OR(L190="131",M190="131"),H190='131-CT'!$E$7),"131",""))</f>
        <v/>
      </c>
      <c r="O190" s="50" t="str">
        <f>IF(AND($B190&gt;='111'!$N$11,$B190&lt;='111'!$O$11,OR($L190=$O$7,$M190=$O$7)),"x","")</f>
        <v/>
      </c>
      <c r="P190" s="50" t="str">
        <f>IF(AND($L190=$O$7,$B190&lt;'111'!$N$11),"x","")</f>
        <v/>
      </c>
      <c r="Q190" s="50" t="str">
        <f>IF(AND($M190=$O$7,$B190&lt;'111'!$N$11),"x","")</f>
        <v/>
      </c>
      <c r="R190" s="50" t="str">
        <f>IF(ISERROR(FIND('112'!$M$9,G190,1)),"",IF((AND(FIND('112'!$M$9,G190,1)&gt;=1,$B190&gt;='112'!$N$8,$B190&lt;='112'!$O$8,OR($L190='112'!$I$6,$M190='112'!$I$6))),"x",""))</f>
        <v/>
      </c>
      <c r="S190" s="50" t="str">
        <f>IF(ISERROR(FIND('112'!$M$9,G190,1)),"",IF((AND(LEFT(G190,2)=LEFT('112'!$M$9,2),B190&lt;'112'!$N$8,$L190='112'!$I$6)),"x",""))</f>
        <v/>
      </c>
      <c r="T190" s="50" t="str">
        <f>IF(ISERROR(FIND('112'!$M$9,G190,1)),"",IF((AND(RIGHT(G190,2)=RIGHT('112'!$M$9,2),B190&lt;'112'!$N$8,$M190='112'!$I$6)),"x",""))</f>
        <v/>
      </c>
      <c r="U190" s="50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0" t="str">
        <f>IF(OR(TH!L190=TH!$V$7,M190=TH!$V$7),"x","")</f>
        <v/>
      </c>
      <c r="W190" s="50" t="str">
        <f>IF(AND(B190&gt;='IN-NX'!$P$3,B190&lt;='IN-NX'!$Q$3,'IN-NX'!$D$7=D190,OR(LEFT(L190,2)="15",AND(LEFT(M190,2)&lt;&gt;"15",LEFT(M190,2)&lt;&gt;"33"))),"x","")</f>
        <v/>
      </c>
      <c r="X190" s="50" t="str">
        <f>IF(AND(OR(LEFT(TH!L190,2)="15",LEFT(TH!M190,2)="15"),'152-CT'!$J$8=TH!F190),"x","")</f>
        <v/>
      </c>
      <c r="Y190" s="50" t="str">
        <f>IF(AND(OR(LEFT(TH!L190,2)="15",LEFT(TH!M190,2)="15"),TK!$E$7=TH!F190),"x","")</f>
        <v/>
      </c>
      <c r="Z190" s="50" t="str">
        <f>IF(AND(B190&lt;=NKC!$N$8,B190&gt;=NKC!$M$8),"x","")</f>
        <v/>
      </c>
      <c r="AA190" s="845"/>
    </row>
    <row r="191" spans="1:30" s="581" customFormat="1" ht="15.75" customHeight="1">
      <c r="A191" s="846" t="str">
        <f>IF(B191&lt;&gt;"",IF(AND(B191&gt;=_TM1,B191&lt;=_TM2,OR(TH!L191="1111",TH!M191="1111")),TH!D191,""),"")</f>
        <v/>
      </c>
      <c r="B191" s="36" t="str">
        <f t="shared" si="6"/>
        <v/>
      </c>
      <c r="C191" s="187"/>
      <c r="D191" s="187"/>
      <c r="E191" s="187"/>
      <c r="F191" s="188"/>
      <c r="G191" s="854"/>
      <c r="H191" s="189"/>
      <c r="I191" s="249"/>
      <c r="J191" s="249"/>
      <c r="K191" s="589"/>
      <c r="L191" s="590"/>
      <c r="M191" s="590"/>
      <c r="N191" s="50" t="str">
        <f>IF(AND('331-CT'!$E$7=TH!H191,OR(L191="331",M191="331")),"331",IF(AND(OR(L191="131",M191="131"),H191='131-CT'!$E$7),"131",""))</f>
        <v/>
      </c>
      <c r="O191" s="50" t="str">
        <f>IF(AND($B191&gt;='111'!$N$11,$B191&lt;='111'!$O$11,OR($L191=$O$7,$M191=$O$7)),"x","")</f>
        <v/>
      </c>
      <c r="P191" s="50" t="str">
        <f>IF(AND($L191=$O$7,$B191&lt;'111'!$N$11),"x","")</f>
        <v/>
      </c>
      <c r="Q191" s="50" t="str">
        <f>IF(AND($M191=$O$7,$B191&lt;'111'!$N$11),"x","")</f>
        <v/>
      </c>
      <c r="R191" s="50" t="str">
        <f>IF(ISERROR(FIND('112'!$M$9,G191,1)),"",IF((AND(FIND('112'!$M$9,G191,1)&gt;=1,$B191&gt;='112'!$N$8,$B191&lt;='112'!$O$8,OR($L191='112'!$I$6,$M191='112'!$I$6))),"x",""))</f>
        <v/>
      </c>
      <c r="S191" s="50" t="str">
        <f>IF(ISERROR(FIND('112'!$M$9,G191,1)),"",IF((AND(LEFT(G191,2)=LEFT('112'!$M$9,2),B191&lt;'112'!$N$8,$L191='112'!$I$6)),"x",""))</f>
        <v/>
      </c>
      <c r="T191" s="50" t="str">
        <f>IF(ISERROR(FIND('112'!$M$9,G191,1)),"",IF((AND(RIGHT(G191,2)=RIGHT('112'!$M$9,2),B191&lt;'112'!$N$8,$M191='112'!$I$6)),"x",""))</f>
        <v/>
      </c>
      <c r="U191" s="50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0" t="str">
        <f>IF(OR(TH!L191=TH!$V$7,M191=TH!$V$7),"x","")</f>
        <v/>
      </c>
      <c r="W191" s="50" t="str">
        <f>IF(AND(B191&gt;='IN-NX'!$P$3,B191&lt;='IN-NX'!$Q$3,'IN-NX'!$D$7=D191,OR(LEFT(L191,2)="15",AND(LEFT(M191,2)&lt;&gt;"15",LEFT(M191,2)&lt;&gt;"33"))),"x","")</f>
        <v/>
      </c>
      <c r="X191" s="50" t="str">
        <f>IF(AND(OR(LEFT(TH!L191,2)="15",LEFT(TH!M191,2)="15"),'152-CT'!$J$8=TH!F191),"x","")</f>
        <v/>
      </c>
      <c r="Y191" s="50" t="str">
        <f>IF(AND(OR(LEFT(TH!L191,2)="15",LEFT(TH!M191,2)="15"),TK!$E$7=TH!F191),"x","")</f>
        <v/>
      </c>
      <c r="Z191" s="50" t="str">
        <f>IF(AND(B191&lt;=NKC!$N$8,B191&gt;=NKC!$M$8),"x","")</f>
        <v/>
      </c>
      <c r="AA191" s="845"/>
    </row>
    <row r="192" spans="1:30" s="581" customFormat="1" ht="15.75" customHeight="1">
      <c r="A192" s="846" t="str">
        <f>IF(B192&lt;&gt;"",IF(AND(B192&gt;=_TM1,B192&lt;=_TM2,OR(TH!L192="1111",TH!M192="1111")),TH!D192,""),"")</f>
        <v/>
      </c>
      <c r="B192" s="36" t="str">
        <f t="shared" si="6"/>
        <v/>
      </c>
      <c r="C192" s="187"/>
      <c r="D192" s="187"/>
      <c r="E192" s="187"/>
      <c r="F192" s="188"/>
      <c r="G192" s="854"/>
      <c r="H192" s="189"/>
      <c r="I192" s="249"/>
      <c r="J192" s="249"/>
      <c r="K192" s="589"/>
      <c r="L192" s="590"/>
      <c r="M192" s="590"/>
      <c r="N192" s="50" t="str">
        <f>IF(AND('331-CT'!$E$7=TH!H192,OR(L192="331",M192="331")),"331",IF(AND(OR(L192="131",M192="131"),H192='131-CT'!$E$7),"131",""))</f>
        <v/>
      </c>
      <c r="O192" s="50" t="str">
        <f>IF(AND($B192&gt;='111'!$N$11,$B192&lt;='111'!$O$11,OR($L192=$O$7,$M192=$O$7)),"x","")</f>
        <v/>
      </c>
      <c r="P192" s="50" t="str">
        <f>IF(AND($L192=$O$7,$B192&lt;'111'!$N$11),"x","")</f>
        <v/>
      </c>
      <c r="Q192" s="50" t="str">
        <f>IF(AND($M192=$O$7,$B192&lt;'111'!$N$11),"x","")</f>
        <v/>
      </c>
      <c r="R192" s="50" t="str">
        <f>IF(ISERROR(FIND('112'!$M$9,G192,1)),"",IF((AND(FIND('112'!$M$9,G192,1)&gt;=1,$B192&gt;='112'!$N$8,$B192&lt;='112'!$O$8,OR($L192='112'!$I$6,$M192='112'!$I$6))),"x",""))</f>
        <v/>
      </c>
      <c r="S192" s="50" t="str">
        <f>IF(ISERROR(FIND('112'!$M$9,G192,1)),"",IF((AND(LEFT(G192,2)=LEFT('112'!$M$9,2),B192&lt;'112'!$N$8,$L192='112'!$I$6)),"x",""))</f>
        <v/>
      </c>
      <c r="T192" s="50" t="str">
        <f>IF(ISERROR(FIND('112'!$M$9,G192,1)),"",IF((AND(RIGHT(G192,2)=RIGHT('112'!$M$9,2),B192&lt;'112'!$N$8,$M192='112'!$I$6)),"x",""))</f>
        <v/>
      </c>
      <c r="U192" s="50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0" t="str">
        <f>IF(OR(TH!L192=TH!$V$7,M192=TH!$V$7),"x","")</f>
        <v/>
      </c>
      <c r="W192" s="50" t="str">
        <f>IF(AND(B192&gt;='IN-NX'!$P$3,B192&lt;='IN-NX'!$Q$3,'IN-NX'!$D$7=D192,OR(LEFT(L192,2)="15",AND(LEFT(M192,2)&lt;&gt;"15",LEFT(M192,2)&lt;&gt;"33"))),"x","")</f>
        <v/>
      </c>
      <c r="X192" s="50" t="str">
        <f>IF(AND(OR(LEFT(TH!L192,2)="15",LEFT(TH!M192,2)="15"),'152-CT'!$J$8=TH!F192),"x","")</f>
        <v/>
      </c>
      <c r="Y192" s="50" t="str">
        <f>IF(AND(OR(LEFT(TH!L192,2)="15",LEFT(TH!M192,2)="15"),TK!$E$7=TH!F192),"x","")</f>
        <v/>
      </c>
      <c r="Z192" s="50" t="str">
        <f>IF(AND(B192&lt;=NKC!$N$8,B192&gt;=NKC!$M$8),"x","")</f>
        <v/>
      </c>
      <c r="AA192" s="845"/>
    </row>
    <row r="193" spans="1:30" s="581" customFormat="1" ht="15.75" customHeight="1">
      <c r="A193" s="846" t="str">
        <f>IF(B193&lt;&gt;"",IF(AND(B193&gt;=_TM1,B193&lt;=_TM2,OR(TH!L193="1111",TH!M193="1111")),TH!D193,""),"")</f>
        <v/>
      </c>
      <c r="B193" s="36" t="str">
        <f t="shared" si="6"/>
        <v/>
      </c>
      <c r="C193" s="187"/>
      <c r="D193" s="187"/>
      <c r="E193" s="187"/>
      <c r="F193" s="188"/>
      <c r="G193" s="854"/>
      <c r="H193" s="189"/>
      <c r="I193" s="249"/>
      <c r="J193" s="249"/>
      <c r="K193" s="589"/>
      <c r="L193" s="590"/>
      <c r="M193" s="590"/>
      <c r="N193" s="50" t="str">
        <f>IF(AND('331-CT'!$E$7=TH!H193,OR(L193="331",M193="331")),"331",IF(AND(OR(L193="131",M193="131"),H193='131-CT'!$E$7),"131",""))</f>
        <v/>
      </c>
      <c r="O193" s="50" t="str">
        <f>IF(AND($B193&gt;='111'!$N$11,$B193&lt;='111'!$O$11,OR($L193=$O$7,$M193=$O$7)),"x","")</f>
        <v/>
      </c>
      <c r="P193" s="50" t="str">
        <f>IF(AND($L193=$O$7,$B193&lt;'111'!$N$11),"x","")</f>
        <v/>
      </c>
      <c r="Q193" s="50" t="str">
        <f>IF(AND($M193=$O$7,$B193&lt;'111'!$N$11),"x","")</f>
        <v/>
      </c>
      <c r="R193" s="50" t="str">
        <f>IF(ISERROR(FIND('112'!$M$9,G193,1)),"",IF((AND(FIND('112'!$M$9,G193,1)&gt;=1,$B193&gt;='112'!$N$8,$B193&lt;='112'!$O$8,OR($L193='112'!$I$6,$M193='112'!$I$6))),"x",""))</f>
        <v/>
      </c>
      <c r="S193" s="50" t="str">
        <f>IF(ISERROR(FIND('112'!$M$9,G193,1)),"",IF((AND(LEFT(G193,2)=LEFT('112'!$M$9,2),B193&lt;'112'!$N$8,$L193='112'!$I$6)),"x",""))</f>
        <v/>
      </c>
      <c r="T193" s="50" t="str">
        <f>IF(ISERROR(FIND('112'!$M$9,G193,1)),"",IF((AND(RIGHT(G193,2)=RIGHT('112'!$M$9,2),B193&lt;'112'!$N$8,$M193='112'!$I$6)),"x",""))</f>
        <v/>
      </c>
      <c r="U193" s="50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0" t="str">
        <f>IF(OR(TH!L193=TH!$V$7,M193=TH!$V$7),"x","")</f>
        <v/>
      </c>
      <c r="W193" s="50" t="str">
        <f>IF(AND(B193&gt;='IN-NX'!$P$3,B193&lt;='IN-NX'!$Q$3,'IN-NX'!$D$7=D193,OR(LEFT(L193,2)="15",AND(LEFT(M193,2)&lt;&gt;"15",LEFT(M193,2)&lt;&gt;"33"))),"x","")</f>
        <v/>
      </c>
      <c r="X193" s="50" t="str">
        <f>IF(AND(OR(LEFT(TH!L193,2)="15",LEFT(TH!M193,2)="15"),'152-CT'!$J$8=TH!F193),"x","")</f>
        <v/>
      </c>
      <c r="Y193" s="50" t="str">
        <f>IF(AND(OR(LEFT(TH!L193,2)="15",LEFT(TH!M193,2)="15"),TK!$E$7=TH!F193),"x","")</f>
        <v/>
      </c>
      <c r="Z193" s="50" t="str">
        <f>IF(AND(B193&lt;=NKC!$N$8,B193&gt;=NKC!$M$8),"x","")</f>
        <v/>
      </c>
      <c r="AA193" s="845"/>
    </row>
    <row r="194" spans="1:30" s="581" customFormat="1" ht="15.75" customHeight="1">
      <c r="A194" s="846" t="str">
        <f>IF(B194&lt;&gt;"",IF(AND(B194&gt;=_TM1,B194&lt;=_TM2,OR(TH!L194="1111",TH!M194="1111")),TH!D194,""),"")</f>
        <v/>
      </c>
      <c r="B194" s="36" t="str">
        <f t="shared" si="6"/>
        <v/>
      </c>
      <c r="C194" s="187"/>
      <c r="D194" s="187"/>
      <c r="E194" s="187"/>
      <c r="F194" s="188"/>
      <c r="G194" s="854"/>
      <c r="H194" s="189"/>
      <c r="I194" s="249"/>
      <c r="J194" s="249"/>
      <c r="K194" s="589"/>
      <c r="L194" s="590"/>
      <c r="M194" s="590"/>
      <c r="N194" s="50" t="str">
        <f>IF(AND('331-CT'!$E$7=TH!H194,OR(L194="331",M194="331")),"331",IF(AND(OR(L194="131",M194="131"),H194='131-CT'!$E$7),"131",""))</f>
        <v/>
      </c>
      <c r="O194" s="50" t="str">
        <f>IF(AND($B194&gt;='111'!$N$11,$B194&lt;='111'!$O$11,OR($L194=$O$7,$M194=$O$7)),"x","")</f>
        <v/>
      </c>
      <c r="P194" s="50" t="str">
        <f>IF(AND($L194=$O$7,$B194&lt;'111'!$N$11),"x","")</f>
        <v/>
      </c>
      <c r="Q194" s="50" t="str">
        <f>IF(AND($M194=$O$7,$B194&lt;'111'!$N$11),"x","")</f>
        <v/>
      </c>
      <c r="R194" s="50" t="str">
        <f>IF(ISERROR(FIND('112'!$M$9,G194,1)),"",IF((AND(FIND('112'!$M$9,G194,1)&gt;=1,$B194&gt;='112'!$N$8,$B194&lt;='112'!$O$8,OR($L194='112'!$I$6,$M194='112'!$I$6))),"x",""))</f>
        <v/>
      </c>
      <c r="S194" s="50" t="str">
        <f>IF(ISERROR(FIND('112'!$M$9,G194,1)),"",IF((AND(LEFT(G194,2)=LEFT('112'!$M$9,2),B194&lt;'112'!$N$8,$L194='112'!$I$6)),"x",""))</f>
        <v/>
      </c>
      <c r="T194" s="50" t="str">
        <f>IF(ISERROR(FIND('112'!$M$9,G194,1)),"",IF((AND(RIGHT(G194,2)=RIGHT('112'!$M$9,2),B194&lt;'112'!$N$8,$M194='112'!$I$6)),"x",""))</f>
        <v/>
      </c>
      <c r="U194" s="50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0" t="str">
        <f>IF(OR(TH!L194=TH!$V$7,M194=TH!$V$7),"x","")</f>
        <v/>
      </c>
      <c r="W194" s="50" t="str">
        <f>IF(AND(B194&gt;='IN-NX'!$P$3,B194&lt;='IN-NX'!$Q$3,'IN-NX'!$D$7=D194,OR(LEFT(L194,2)="15",AND(LEFT(M194,2)&lt;&gt;"15",LEFT(M194,2)&lt;&gt;"33"))),"x","")</f>
        <v/>
      </c>
      <c r="X194" s="50" t="str">
        <f>IF(AND(OR(LEFT(TH!L194,2)="15",LEFT(TH!M194,2)="15"),'152-CT'!$J$8=TH!F194),"x","")</f>
        <v/>
      </c>
      <c r="Y194" s="50" t="str">
        <f>IF(AND(OR(LEFT(TH!L194,2)="15",LEFT(TH!M194,2)="15"),TK!$E$7=TH!F194),"x","")</f>
        <v/>
      </c>
      <c r="Z194" s="50" t="str">
        <f>IF(AND(B194&lt;=NKC!$N$8,B194&gt;=NKC!$M$8),"x","")</f>
        <v/>
      </c>
      <c r="AA194" s="845"/>
      <c r="AC194" s="201"/>
      <c r="AD194" s="201"/>
    </row>
    <row r="195" spans="1:30" s="581" customFormat="1" ht="15.75" customHeight="1">
      <c r="A195" s="846" t="str">
        <f>IF(B195&lt;&gt;"",IF(AND(B195&gt;=_TM1,B195&lt;=_TM2,OR(TH!L195="1111",TH!M195="1111")),TH!D195,""),"")</f>
        <v/>
      </c>
      <c r="B195" s="36" t="str">
        <f t="shared" si="6"/>
        <v/>
      </c>
      <c r="C195" s="187"/>
      <c r="D195" s="187"/>
      <c r="E195" s="187"/>
      <c r="F195" s="188"/>
      <c r="G195" s="854"/>
      <c r="H195" s="189"/>
      <c r="I195" s="249"/>
      <c r="J195" s="249"/>
      <c r="K195" s="589"/>
      <c r="L195" s="590"/>
      <c r="M195" s="590"/>
      <c r="N195" s="50" t="str">
        <f>IF(AND('331-CT'!$E$7=TH!H195,OR(L195="331",M195="331")),"331",IF(AND(OR(L195="131",M195="131"),H195='131-CT'!$E$7),"131",""))</f>
        <v/>
      </c>
      <c r="O195" s="50" t="str">
        <f>IF(AND($B195&gt;='111'!$N$11,$B195&lt;='111'!$O$11,OR($L195=$O$7,$M195=$O$7)),"x","")</f>
        <v/>
      </c>
      <c r="P195" s="50" t="str">
        <f>IF(AND($L195=$O$7,$B195&lt;'111'!$N$11),"x","")</f>
        <v/>
      </c>
      <c r="Q195" s="50" t="str">
        <f>IF(AND($M195=$O$7,$B195&lt;'111'!$N$11),"x","")</f>
        <v/>
      </c>
      <c r="R195" s="50" t="str">
        <f>IF(ISERROR(FIND('112'!$M$9,G195,1)),"",IF((AND(FIND('112'!$M$9,G195,1)&gt;=1,$B195&gt;='112'!$N$8,$B195&lt;='112'!$O$8,OR($L195='112'!$I$6,$M195='112'!$I$6))),"x",""))</f>
        <v/>
      </c>
      <c r="S195" s="50" t="str">
        <f>IF(ISERROR(FIND('112'!$M$9,G195,1)),"",IF((AND(LEFT(G195,2)=LEFT('112'!$M$9,2),B195&lt;'112'!$N$8,$L195='112'!$I$6)),"x",""))</f>
        <v/>
      </c>
      <c r="T195" s="50" t="str">
        <f>IF(ISERROR(FIND('112'!$M$9,G195,1)),"",IF((AND(RIGHT(G195,2)=RIGHT('112'!$M$9,2),B195&lt;'112'!$N$8,$M195='112'!$I$6)),"x",""))</f>
        <v/>
      </c>
      <c r="U195" s="50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0" t="str">
        <f>IF(OR(TH!L195=TH!$V$7,M195=TH!$V$7),"x","")</f>
        <v/>
      </c>
      <c r="W195" s="50" t="str">
        <f>IF(AND(B195&gt;='IN-NX'!$P$3,B195&lt;='IN-NX'!$Q$3,'IN-NX'!$D$7=D195,OR(LEFT(L195,2)="15",AND(LEFT(M195,2)&lt;&gt;"15",LEFT(M195,2)&lt;&gt;"33"))),"x","")</f>
        <v/>
      </c>
      <c r="X195" s="50" t="str">
        <f>IF(AND(OR(LEFT(TH!L195,2)="15",LEFT(TH!M195,2)="15"),'152-CT'!$J$8=TH!F195),"x","")</f>
        <v/>
      </c>
      <c r="Y195" s="50" t="str">
        <f>IF(AND(OR(LEFT(TH!L195,2)="15",LEFT(TH!M195,2)="15"),TK!$E$7=TH!F195),"x","")</f>
        <v/>
      </c>
      <c r="Z195" s="50" t="str">
        <f>IF(AND(B195&lt;=NKC!$N$8,B195&gt;=NKC!$M$8),"x","")</f>
        <v/>
      </c>
      <c r="AA195" s="845"/>
      <c r="AC195" s="201"/>
      <c r="AD195" s="201"/>
    </row>
    <row r="196" spans="1:30" s="581" customFormat="1" ht="15.75" customHeight="1">
      <c r="A196" s="846" t="str">
        <f>IF(B196&lt;&gt;"",IF(AND(B196&gt;=_TM1,B196&lt;=_TM2,OR(TH!L196="1111",TH!M196="1111")),TH!D196,""),"")</f>
        <v/>
      </c>
      <c r="B196" s="36" t="str">
        <f t="shared" si="6"/>
        <v/>
      </c>
      <c r="C196" s="187"/>
      <c r="D196" s="187"/>
      <c r="E196" s="187"/>
      <c r="F196" s="188"/>
      <c r="G196" s="854"/>
      <c r="H196" s="189"/>
      <c r="I196" s="249"/>
      <c r="J196" s="249"/>
      <c r="K196" s="589"/>
      <c r="L196" s="590"/>
      <c r="M196" s="590"/>
      <c r="N196" s="50" t="str">
        <f>IF(AND('331-CT'!$E$7=TH!H196,OR(L196="331",M196="331")),"331",IF(AND(OR(L196="131",M196="131"),H196='131-CT'!$E$7),"131",""))</f>
        <v/>
      </c>
      <c r="O196" s="50" t="str">
        <f>IF(AND($B196&gt;='111'!$N$11,$B196&lt;='111'!$O$11,OR($L196=$O$7,$M196=$O$7)),"x","")</f>
        <v/>
      </c>
      <c r="P196" s="50" t="str">
        <f>IF(AND($L196=$O$7,$B196&lt;'111'!$N$11),"x","")</f>
        <v/>
      </c>
      <c r="Q196" s="50" t="str">
        <f>IF(AND($M196=$O$7,$B196&lt;'111'!$N$11),"x","")</f>
        <v/>
      </c>
      <c r="R196" s="50" t="str">
        <f>IF(ISERROR(FIND('112'!$M$9,G196,1)),"",IF((AND(FIND('112'!$M$9,G196,1)&gt;=1,$B196&gt;='112'!$N$8,$B196&lt;='112'!$O$8,OR($L196='112'!$I$6,$M196='112'!$I$6))),"x",""))</f>
        <v/>
      </c>
      <c r="S196" s="50" t="str">
        <f>IF(ISERROR(FIND('112'!$M$9,G196,1)),"",IF((AND(LEFT(G196,2)=LEFT('112'!$M$9,2),B196&lt;'112'!$N$8,$L196='112'!$I$6)),"x",""))</f>
        <v/>
      </c>
      <c r="T196" s="50" t="str">
        <f>IF(ISERROR(FIND('112'!$M$9,G196,1)),"",IF((AND(RIGHT(G196,2)=RIGHT('112'!$M$9,2),B196&lt;'112'!$N$8,$M196='112'!$I$6)),"x",""))</f>
        <v/>
      </c>
      <c r="U196" s="50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0" t="str">
        <f>IF(OR(TH!L196=TH!$V$7,M196=TH!$V$7),"x","")</f>
        <v/>
      </c>
      <c r="W196" s="50" t="str">
        <f>IF(AND(B196&gt;='IN-NX'!$P$3,B196&lt;='IN-NX'!$Q$3,'IN-NX'!$D$7=D196,OR(LEFT(L196,2)="15",AND(LEFT(M196,2)&lt;&gt;"15",LEFT(M196,2)&lt;&gt;"33"))),"x","")</f>
        <v/>
      </c>
      <c r="X196" s="50" t="str">
        <f>IF(AND(OR(LEFT(TH!L196,2)="15",LEFT(TH!M196,2)="15"),'152-CT'!$J$8=TH!F196),"x","")</f>
        <v/>
      </c>
      <c r="Y196" s="50" t="str">
        <f>IF(AND(OR(LEFT(TH!L196,2)="15",LEFT(TH!M196,2)="15"),TK!$E$7=TH!F196),"x","")</f>
        <v/>
      </c>
      <c r="Z196" s="50" t="str">
        <f>IF(AND(B196&lt;=NKC!$N$8,B196&gt;=NKC!$M$8),"x","")</f>
        <v/>
      </c>
      <c r="AA196" s="845"/>
      <c r="AC196" s="201"/>
      <c r="AD196" s="201"/>
    </row>
    <row r="197" spans="1:30" s="581" customFormat="1" ht="15.75" customHeight="1">
      <c r="A197" s="846" t="str">
        <f>IF(B197&lt;&gt;"",IF(AND(B197&gt;=_TM1,B197&lt;=_TM2,OR(TH!L197="1111",TH!M197="1111")),TH!D197,""),"")</f>
        <v/>
      </c>
      <c r="B197" s="36" t="str">
        <f t="shared" si="6"/>
        <v/>
      </c>
      <c r="C197" s="187"/>
      <c r="D197" s="187"/>
      <c r="E197" s="187"/>
      <c r="F197" s="188"/>
      <c r="G197" s="854"/>
      <c r="H197" s="189"/>
      <c r="I197" s="249"/>
      <c r="J197" s="249"/>
      <c r="K197" s="589"/>
      <c r="L197" s="590"/>
      <c r="M197" s="590"/>
      <c r="N197" s="50" t="str">
        <f>IF(AND('331-CT'!$E$7=TH!H197,OR(L197="331",M197="331")),"331",IF(AND(OR(L197="131",M197="131"),H197='131-CT'!$E$7),"131",""))</f>
        <v/>
      </c>
      <c r="O197" s="50" t="str">
        <f>IF(AND($B197&gt;='111'!$N$11,$B197&lt;='111'!$O$11,OR($L197=$O$7,$M197=$O$7)),"x","")</f>
        <v/>
      </c>
      <c r="P197" s="50" t="str">
        <f>IF(AND($L197=$O$7,$B197&lt;'111'!$N$11),"x","")</f>
        <v/>
      </c>
      <c r="Q197" s="50" t="str">
        <f>IF(AND($M197=$O$7,$B197&lt;'111'!$N$11),"x","")</f>
        <v/>
      </c>
      <c r="R197" s="50" t="str">
        <f>IF(ISERROR(FIND('112'!$M$9,G197,1)),"",IF((AND(FIND('112'!$M$9,G197,1)&gt;=1,$B197&gt;='112'!$N$8,$B197&lt;='112'!$O$8,OR($L197='112'!$I$6,$M197='112'!$I$6))),"x",""))</f>
        <v/>
      </c>
      <c r="S197" s="50" t="str">
        <f>IF(ISERROR(FIND('112'!$M$9,G197,1)),"",IF((AND(LEFT(G197,2)=LEFT('112'!$M$9,2),B197&lt;'112'!$N$8,$L197='112'!$I$6)),"x",""))</f>
        <v/>
      </c>
      <c r="T197" s="50" t="str">
        <f>IF(ISERROR(FIND('112'!$M$9,G197,1)),"",IF((AND(RIGHT(G197,2)=RIGHT('112'!$M$9,2),B197&lt;'112'!$N$8,$M197='112'!$I$6)),"x",""))</f>
        <v/>
      </c>
      <c r="U197" s="50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0" t="str">
        <f>IF(OR(TH!L197=TH!$V$7,M197=TH!$V$7),"x","")</f>
        <v/>
      </c>
      <c r="W197" s="50" t="str">
        <f>IF(AND(B197&gt;='IN-NX'!$P$3,B197&lt;='IN-NX'!$Q$3,'IN-NX'!$D$7=D197,OR(LEFT(L197,2)="15",AND(LEFT(M197,2)&lt;&gt;"15",LEFT(M197,2)&lt;&gt;"33"))),"x","")</f>
        <v/>
      </c>
      <c r="X197" s="50" t="str">
        <f>IF(AND(OR(LEFT(TH!L197,2)="15",LEFT(TH!M197,2)="15"),'152-CT'!$J$8=TH!F197),"x","")</f>
        <v/>
      </c>
      <c r="Y197" s="50" t="str">
        <f>IF(AND(OR(LEFT(TH!L197,2)="15",LEFT(TH!M197,2)="15"),TK!$E$7=TH!F197),"x","")</f>
        <v/>
      </c>
      <c r="Z197" s="50" t="str">
        <f>IF(AND(B197&lt;=NKC!$N$8,B197&gt;=NKC!$M$8),"x","")</f>
        <v/>
      </c>
      <c r="AA197" s="845"/>
      <c r="AC197" s="201"/>
      <c r="AD197" s="201"/>
    </row>
    <row r="198" spans="1:30" s="581" customFormat="1" ht="15.75" customHeight="1">
      <c r="A198" s="846" t="str">
        <f>IF(B198&lt;&gt;"",IF(AND(B198&gt;=_TM1,B198&lt;=_TM2,OR(TH!L198="1111",TH!M198="1111")),TH!D198,""),"")</f>
        <v/>
      </c>
      <c r="B198" s="36" t="str">
        <f t="shared" si="6"/>
        <v/>
      </c>
      <c r="C198" s="187"/>
      <c r="D198" s="187"/>
      <c r="E198" s="187"/>
      <c r="F198" s="188"/>
      <c r="G198" s="854"/>
      <c r="H198" s="189"/>
      <c r="I198" s="249"/>
      <c r="J198" s="249"/>
      <c r="K198" s="589"/>
      <c r="L198" s="590"/>
      <c r="M198" s="590"/>
      <c r="N198" s="50" t="str">
        <f>IF(AND('331-CT'!$E$7=TH!H198,OR(L198="331",M198="331")),"331",IF(AND(OR(L198="131",M198="131"),H198='131-CT'!$E$7),"131",""))</f>
        <v/>
      </c>
      <c r="O198" s="50" t="str">
        <f>IF(AND($B198&gt;='111'!$N$11,$B198&lt;='111'!$O$11,OR($L198=$O$7,$M198=$O$7)),"x","")</f>
        <v/>
      </c>
      <c r="P198" s="50" t="str">
        <f>IF(AND($L198=$O$7,$B198&lt;'111'!$N$11),"x","")</f>
        <v/>
      </c>
      <c r="Q198" s="50" t="str">
        <f>IF(AND($M198=$O$7,$B198&lt;'111'!$N$11),"x","")</f>
        <v/>
      </c>
      <c r="R198" s="50" t="str">
        <f>IF(ISERROR(FIND('112'!$M$9,G198,1)),"",IF((AND(FIND('112'!$M$9,G198,1)&gt;=1,$B198&gt;='112'!$N$8,$B198&lt;='112'!$O$8,OR($L198='112'!$I$6,$M198='112'!$I$6))),"x",""))</f>
        <v/>
      </c>
      <c r="S198" s="50" t="str">
        <f>IF(ISERROR(FIND('112'!$M$9,G198,1)),"",IF((AND(LEFT(G198,2)=LEFT('112'!$M$9,2),B198&lt;'112'!$N$8,$L198='112'!$I$6)),"x",""))</f>
        <v/>
      </c>
      <c r="T198" s="50" t="str">
        <f>IF(ISERROR(FIND('112'!$M$9,G198,1)),"",IF((AND(RIGHT(G198,2)=RIGHT('112'!$M$9,2),B198&lt;'112'!$N$8,$M198='112'!$I$6)),"x",""))</f>
        <v/>
      </c>
      <c r="U198" s="50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0" t="str">
        <f>IF(OR(TH!L198=TH!$V$7,M198=TH!$V$7),"x","")</f>
        <v/>
      </c>
      <c r="W198" s="50" t="str">
        <f>IF(AND(B198&gt;='IN-NX'!$P$3,B198&lt;='IN-NX'!$Q$3,'IN-NX'!$D$7=D198,OR(LEFT(L198,2)="15",AND(LEFT(M198,2)&lt;&gt;"15",LEFT(M198,2)&lt;&gt;"33"))),"x","")</f>
        <v/>
      </c>
      <c r="X198" s="50" t="str">
        <f>IF(AND(OR(LEFT(TH!L198,2)="15",LEFT(TH!M198,2)="15"),'152-CT'!$J$8=TH!F198),"x","")</f>
        <v/>
      </c>
      <c r="Y198" s="50" t="str">
        <f>IF(AND(OR(LEFT(TH!L198,2)="15",LEFT(TH!M198,2)="15"),TK!$E$7=TH!F198),"x","")</f>
        <v/>
      </c>
      <c r="Z198" s="50" t="str">
        <f>IF(AND(B198&lt;=NKC!$N$8,B198&gt;=NKC!$M$8),"x","")</f>
        <v/>
      </c>
      <c r="AA198" s="845"/>
      <c r="AC198" s="201"/>
      <c r="AD198" s="201"/>
    </row>
    <row r="199" spans="1:30" s="581" customFormat="1" ht="15.75" customHeight="1">
      <c r="A199" s="846" t="str">
        <f>IF(B199&lt;&gt;"",IF(AND(B199&gt;=_TM1,B199&lt;=_TM2,OR(TH!L199="1111",TH!M199="1111")),TH!D199,""),"")</f>
        <v/>
      </c>
      <c r="B199" s="36" t="str">
        <f t="shared" si="6"/>
        <v/>
      </c>
      <c r="C199" s="187"/>
      <c r="D199" s="187"/>
      <c r="E199" s="187"/>
      <c r="F199" s="188"/>
      <c r="G199" s="854"/>
      <c r="H199" s="189"/>
      <c r="I199" s="249"/>
      <c r="J199" s="249"/>
      <c r="K199" s="589"/>
      <c r="L199" s="590"/>
      <c r="M199" s="590"/>
      <c r="N199" s="50" t="str">
        <f>IF(AND('331-CT'!$E$7=TH!H199,OR(L199="331",M199="331")),"331",IF(AND(OR(L199="131",M199="131"),H199='131-CT'!$E$7),"131",""))</f>
        <v/>
      </c>
      <c r="O199" s="50" t="str">
        <f>IF(AND($B199&gt;='111'!$N$11,$B199&lt;='111'!$O$11,OR($L199=$O$7,$M199=$O$7)),"x","")</f>
        <v/>
      </c>
      <c r="P199" s="50" t="str">
        <f>IF(AND($L199=$O$7,$B199&lt;'111'!$N$11),"x","")</f>
        <v/>
      </c>
      <c r="Q199" s="50" t="str">
        <f>IF(AND($M199=$O$7,$B199&lt;'111'!$N$11),"x","")</f>
        <v/>
      </c>
      <c r="R199" s="50" t="str">
        <f>IF(ISERROR(FIND('112'!$M$9,G199,1)),"",IF((AND(FIND('112'!$M$9,G199,1)&gt;=1,$B199&gt;='112'!$N$8,$B199&lt;='112'!$O$8,OR($L199='112'!$I$6,$M199='112'!$I$6))),"x",""))</f>
        <v/>
      </c>
      <c r="S199" s="50" t="str">
        <f>IF(ISERROR(FIND('112'!$M$9,G199,1)),"",IF((AND(LEFT(G199,2)=LEFT('112'!$M$9,2),B199&lt;'112'!$N$8,$L199='112'!$I$6)),"x",""))</f>
        <v/>
      </c>
      <c r="T199" s="50" t="str">
        <f>IF(ISERROR(FIND('112'!$M$9,G199,1)),"",IF((AND(RIGHT(G199,2)=RIGHT('112'!$M$9,2),B199&lt;'112'!$N$8,$M199='112'!$I$6)),"x",""))</f>
        <v/>
      </c>
      <c r="U199" s="50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0" t="str">
        <f>IF(OR(TH!L199=TH!$V$7,M199=TH!$V$7),"x","")</f>
        <v/>
      </c>
      <c r="W199" s="50" t="str">
        <f>IF(AND(B199&gt;='IN-NX'!$P$3,B199&lt;='IN-NX'!$Q$3,'IN-NX'!$D$7=D199,OR(LEFT(L199,2)="15",AND(LEFT(M199,2)&lt;&gt;"15",LEFT(M199,2)&lt;&gt;"33"))),"x","")</f>
        <v/>
      </c>
      <c r="X199" s="50" t="str">
        <f>IF(AND(OR(LEFT(TH!L199,2)="15",LEFT(TH!M199,2)="15"),'152-CT'!$J$8=TH!F199),"x","")</f>
        <v/>
      </c>
      <c r="Y199" s="50" t="str">
        <f>IF(AND(OR(LEFT(TH!L199,2)="15",LEFT(TH!M199,2)="15"),TK!$E$7=TH!F199),"x","")</f>
        <v/>
      </c>
      <c r="Z199" s="50" t="str">
        <f>IF(AND(B199&lt;=NKC!$N$8,B199&gt;=NKC!$M$8),"x","")</f>
        <v/>
      </c>
      <c r="AA199" s="845"/>
      <c r="AC199" s="201"/>
      <c r="AD199" s="201"/>
    </row>
    <row r="200" spans="1:30" s="581" customFormat="1" ht="15.75" customHeight="1">
      <c r="A200" s="846" t="str">
        <f>IF(B200&lt;&gt;"",IF(AND(B200&gt;=_TM1,B200&lt;=_TM2,OR(TH!L200="1111",TH!M200="1111")),TH!D200,""),"")</f>
        <v/>
      </c>
      <c r="B200" s="36" t="str">
        <f t="shared" si="6"/>
        <v/>
      </c>
      <c r="C200" s="187"/>
      <c r="D200" s="187"/>
      <c r="E200" s="187"/>
      <c r="F200" s="188"/>
      <c r="G200" s="854"/>
      <c r="H200" s="189"/>
      <c r="I200" s="249"/>
      <c r="J200" s="249"/>
      <c r="K200" s="589"/>
      <c r="L200" s="590"/>
      <c r="M200" s="590"/>
      <c r="N200" s="50" t="str">
        <f>IF(AND('331-CT'!$E$7=TH!H200,OR(L200="331",M200="331")),"331",IF(AND(OR(L200="131",M200="131"),H200='131-CT'!$E$7),"131",""))</f>
        <v/>
      </c>
      <c r="O200" s="50" t="str">
        <f>IF(AND($B200&gt;='111'!$N$11,$B200&lt;='111'!$O$11,OR($L200=$O$7,$M200=$O$7)),"x","")</f>
        <v/>
      </c>
      <c r="P200" s="50" t="str">
        <f>IF(AND($L200=$O$7,$B200&lt;'111'!$N$11),"x","")</f>
        <v/>
      </c>
      <c r="Q200" s="50" t="str">
        <f>IF(AND($M200=$O$7,$B200&lt;'111'!$N$11),"x","")</f>
        <v/>
      </c>
      <c r="R200" s="50" t="str">
        <f>IF(ISERROR(FIND('112'!$M$9,G200,1)),"",IF((AND(FIND('112'!$M$9,G200,1)&gt;=1,$B200&gt;='112'!$N$8,$B200&lt;='112'!$O$8,OR($L200='112'!$I$6,$M200='112'!$I$6))),"x",""))</f>
        <v/>
      </c>
      <c r="S200" s="50" t="str">
        <f>IF(ISERROR(FIND('112'!$M$9,G200,1)),"",IF((AND(LEFT(G200,2)=LEFT('112'!$M$9,2),B200&lt;'112'!$N$8,$L200='112'!$I$6)),"x",""))</f>
        <v/>
      </c>
      <c r="T200" s="50" t="str">
        <f>IF(ISERROR(FIND('112'!$M$9,G200,1)),"",IF((AND(RIGHT(G200,2)=RIGHT('112'!$M$9,2),B200&lt;'112'!$N$8,$M200='112'!$I$6)),"x",""))</f>
        <v/>
      </c>
      <c r="U200" s="50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0" t="str">
        <f>IF(OR(TH!L200=TH!$V$7,M200=TH!$V$7),"x","")</f>
        <v/>
      </c>
      <c r="W200" s="50" t="str">
        <f>IF(AND(B200&gt;='IN-NX'!$P$3,B200&lt;='IN-NX'!$Q$3,'IN-NX'!$D$7=D200,OR(LEFT(L200,2)="15",AND(LEFT(M200,2)&lt;&gt;"15",LEFT(M200,2)&lt;&gt;"33"))),"x","")</f>
        <v/>
      </c>
      <c r="X200" s="50" t="str">
        <f>IF(AND(OR(LEFT(TH!L200,2)="15",LEFT(TH!M200,2)="15"),'152-CT'!$J$8=TH!F200),"x","")</f>
        <v/>
      </c>
      <c r="Y200" s="50" t="str">
        <f>IF(AND(OR(LEFT(TH!L200,2)="15",LEFT(TH!M200,2)="15"),TK!$E$7=TH!F200),"x","")</f>
        <v/>
      </c>
      <c r="Z200" s="50" t="str">
        <f>IF(AND(B200&lt;=NKC!$N$8,B200&gt;=NKC!$M$8),"x","")</f>
        <v/>
      </c>
      <c r="AA200" s="845"/>
      <c r="AC200" s="201"/>
      <c r="AD200" s="201"/>
    </row>
    <row r="201" spans="1:30" s="581" customFormat="1" ht="15.75" customHeight="1">
      <c r="A201" s="846" t="str">
        <f>IF(B201&lt;&gt;"",IF(AND(B201&gt;=_TM1,B201&lt;=_TM2,OR(TH!L201="1111",TH!M201="1111")),TH!D201,""),"")</f>
        <v/>
      </c>
      <c r="B201" s="36" t="str">
        <f t="shared" si="6"/>
        <v/>
      </c>
      <c r="C201" s="187"/>
      <c r="D201" s="187"/>
      <c r="E201" s="187"/>
      <c r="F201" s="188"/>
      <c r="G201" s="854"/>
      <c r="H201" s="189"/>
      <c r="I201" s="249"/>
      <c r="J201" s="249"/>
      <c r="K201" s="589"/>
      <c r="L201" s="590"/>
      <c r="M201" s="590"/>
      <c r="N201" s="50" t="str">
        <f>IF(AND('331-CT'!$E$7=TH!H201,OR(L201="331",M201="331")),"331",IF(AND(OR(L201="131",M201="131"),H201='131-CT'!$E$7),"131",""))</f>
        <v/>
      </c>
      <c r="O201" s="50" t="str">
        <f>IF(AND($B201&gt;='111'!$N$11,$B201&lt;='111'!$O$11,OR($L201=$O$7,$M201=$O$7)),"x","")</f>
        <v/>
      </c>
      <c r="P201" s="50" t="str">
        <f>IF(AND($L201=$O$7,$B201&lt;'111'!$N$11),"x","")</f>
        <v/>
      </c>
      <c r="Q201" s="50" t="str">
        <f>IF(AND($M201=$O$7,$B201&lt;'111'!$N$11),"x","")</f>
        <v/>
      </c>
      <c r="R201" s="50" t="str">
        <f>IF(ISERROR(FIND('112'!$M$9,G201,1)),"",IF((AND(FIND('112'!$M$9,G201,1)&gt;=1,$B201&gt;='112'!$N$8,$B201&lt;='112'!$O$8,OR($L201='112'!$I$6,$M201='112'!$I$6))),"x",""))</f>
        <v/>
      </c>
      <c r="S201" s="50" t="str">
        <f>IF(ISERROR(FIND('112'!$M$9,G201,1)),"",IF((AND(LEFT(G201,2)=LEFT('112'!$M$9,2),B201&lt;'112'!$N$8,$L201='112'!$I$6)),"x",""))</f>
        <v/>
      </c>
      <c r="T201" s="50" t="str">
        <f>IF(ISERROR(FIND('112'!$M$9,G201,1)),"",IF((AND(RIGHT(G201,2)=RIGHT('112'!$M$9,2),B201&lt;'112'!$N$8,$M201='112'!$I$6)),"x",""))</f>
        <v/>
      </c>
      <c r="U201" s="50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0" t="str">
        <f>IF(OR(TH!L201=TH!$V$7,M201=TH!$V$7),"x","")</f>
        <v/>
      </c>
      <c r="W201" s="50" t="str">
        <f>IF(AND(B201&gt;='IN-NX'!$P$3,B201&lt;='IN-NX'!$Q$3,'IN-NX'!$D$7=D201,OR(LEFT(L201,2)="15",AND(LEFT(M201,2)&lt;&gt;"15",LEFT(M201,2)&lt;&gt;"33"))),"x","")</f>
        <v/>
      </c>
      <c r="X201" s="50" t="str">
        <f>IF(AND(OR(LEFT(TH!L201,2)="15",LEFT(TH!M201,2)="15"),'152-CT'!$J$8=TH!F201),"x","")</f>
        <v/>
      </c>
      <c r="Y201" s="50" t="str">
        <f>IF(AND(OR(LEFT(TH!L201,2)="15",LEFT(TH!M201,2)="15"),TK!$E$7=TH!F201),"x","")</f>
        <v/>
      </c>
      <c r="Z201" s="50" t="str">
        <f>IF(AND(B201&lt;=NKC!$N$8,B201&gt;=NKC!$M$8),"x","")</f>
        <v/>
      </c>
      <c r="AA201" s="845"/>
      <c r="AC201" s="201"/>
      <c r="AD201" s="201"/>
    </row>
    <row r="202" spans="1:30" s="581" customFormat="1" ht="15.75" customHeight="1">
      <c r="A202" s="846" t="str">
        <f>IF(B202&lt;&gt;"",IF(AND(B202&gt;=_TM1,B202&lt;=_TM2,OR(TH!L202="1111",TH!M202="1111")),TH!D202,""),"")</f>
        <v/>
      </c>
      <c r="B202" s="36" t="str">
        <f t="shared" si="6"/>
        <v/>
      </c>
      <c r="C202" s="187"/>
      <c r="D202" s="187"/>
      <c r="E202" s="187"/>
      <c r="F202" s="188"/>
      <c r="G202" s="854"/>
      <c r="H202" s="189"/>
      <c r="I202" s="249"/>
      <c r="J202" s="249"/>
      <c r="K202" s="589"/>
      <c r="L202" s="590"/>
      <c r="M202" s="590"/>
      <c r="N202" s="50" t="str">
        <f>IF(AND('331-CT'!$E$7=TH!H202,OR(L202="331",M202="331")),"331",IF(AND(OR(L202="131",M202="131"),H202='131-CT'!$E$7),"131",""))</f>
        <v/>
      </c>
      <c r="O202" s="50" t="str">
        <f>IF(AND($B202&gt;='111'!$N$11,$B202&lt;='111'!$O$11,OR($L202=$O$7,$M202=$O$7)),"x","")</f>
        <v/>
      </c>
      <c r="P202" s="50" t="str">
        <f>IF(AND($L202=$O$7,$B202&lt;'111'!$N$11),"x","")</f>
        <v/>
      </c>
      <c r="Q202" s="50" t="str">
        <f>IF(AND($M202=$O$7,$B202&lt;'111'!$N$11),"x","")</f>
        <v/>
      </c>
      <c r="R202" s="50" t="str">
        <f>IF(ISERROR(FIND('112'!$M$9,G202,1)),"",IF((AND(FIND('112'!$M$9,G202,1)&gt;=1,$B202&gt;='112'!$N$8,$B202&lt;='112'!$O$8,OR($L202='112'!$I$6,$M202='112'!$I$6))),"x",""))</f>
        <v/>
      </c>
      <c r="S202" s="50" t="str">
        <f>IF(ISERROR(FIND('112'!$M$9,G202,1)),"",IF((AND(LEFT(G202,2)=LEFT('112'!$M$9,2),B202&lt;'112'!$N$8,$L202='112'!$I$6)),"x",""))</f>
        <v/>
      </c>
      <c r="T202" s="50" t="str">
        <f>IF(ISERROR(FIND('112'!$M$9,G202,1)),"",IF((AND(RIGHT(G202,2)=RIGHT('112'!$M$9,2),B202&lt;'112'!$N$8,$M202='112'!$I$6)),"x",""))</f>
        <v/>
      </c>
      <c r="U202" s="50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0" t="str">
        <f>IF(OR(TH!L202=TH!$V$7,M202=TH!$V$7),"x","")</f>
        <v/>
      </c>
      <c r="W202" s="50" t="str">
        <f>IF(AND(B202&gt;='IN-NX'!$P$3,B202&lt;='IN-NX'!$Q$3,'IN-NX'!$D$7=D202,OR(LEFT(L202,2)="15",AND(LEFT(M202,2)&lt;&gt;"15",LEFT(M202,2)&lt;&gt;"33"))),"x","")</f>
        <v/>
      </c>
      <c r="X202" s="50" t="str">
        <f>IF(AND(OR(LEFT(TH!L202,2)="15",LEFT(TH!M202,2)="15"),'152-CT'!$J$8=TH!F202),"x","")</f>
        <v/>
      </c>
      <c r="Y202" s="50" t="str">
        <f>IF(AND(OR(LEFT(TH!L202,2)="15",LEFT(TH!M202,2)="15"),TK!$E$7=TH!F202),"x","")</f>
        <v/>
      </c>
      <c r="Z202" s="50" t="str">
        <f>IF(AND(B202&lt;=NKC!$N$8,B202&gt;=NKC!$M$8),"x","")</f>
        <v/>
      </c>
      <c r="AA202" s="845"/>
      <c r="AC202" s="201"/>
      <c r="AD202" s="201"/>
    </row>
    <row r="203" spans="1:30" s="581" customFormat="1" ht="15.75" customHeight="1">
      <c r="A203" s="846" t="str">
        <f>IF(B203&lt;&gt;"",IF(AND(B203&gt;=_TM1,B203&lt;=_TM2,OR(TH!L203="1111",TH!M203="1111")),TH!D203,""),"")</f>
        <v/>
      </c>
      <c r="B203" s="36" t="str">
        <f t="shared" si="6"/>
        <v/>
      </c>
      <c r="C203" s="187"/>
      <c r="D203" s="187"/>
      <c r="E203" s="187"/>
      <c r="F203" s="188"/>
      <c r="G203" s="854"/>
      <c r="H203" s="189"/>
      <c r="I203" s="249"/>
      <c r="J203" s="249"/>
      <c r="K203" s="589"/>
      <c r="L203" s="590"/>
      <c r="M203" s="590"/>
      <c r="N203" s="50" t="str">
        <f>IF(AND('331-CT'!$E$7=TH!H203,OR(L203="331",M203="331")),"331",IF(AND(OR(L203="131",M203="131"),H203='131-CT'!$E$7),"131",""))</f>
        <v/>
      </c>
      <c r="O203" s="50" t="str">
        <f>IF(AND($B203&gt;='111'!$N$11,$B203&lt;='111'!$O$11,OR($L203=$O$7,$M203=$O$7)),"x","")</f>
        <v/>
      </c>
      <c r="P203" s="50" t="str">
        <f>IF(AND($L203=$O$7,$B203&lt;'111'!$N$11),"x","")</f>
        <v/>
      </c>
      <c r="Q203" s="50" t="str">
        <f>IF(AND($M203=$O$7,$B203&lt;'111'!$N$11),"x","")</f>
        <v/>
      </c>
      <c r="R203" s="50" t="str">
        <f>IF(ISERROR(FIND('112'!$M$9,G203,1)),"",IF((AND(FIND('112'!$M$9,G203,1)&gt;=1,$B203&gt;='112'!$N$8,$B203&lt;='112'!$O$8,OR($L203='112'!$I$6,$M203='112'!$I$6))),"x",""))</f>
        <v/>
      </c>
      <c r="S203" s="50" t="str">
        <f>IF(ISERROR(FIND('112'!$M$9,G203,1)),"",IF((AND(LEFT(G203,2)=LEFT('112'!$M$9,2),B203&lt;'112'!$N$8,$L203='112'!$I$6)),"x",""))</f>
        <v/>
      </c>
      <c r="T203" s="50" t="str">
        <f>IF(ISERROR(FIND('112'!$M$9,G203,1)),"",IF((AND(RIGHT(G203,2)=RIGHT('112'!$M$9,2),B203&lt;'112'!$N$8,$M203='112'!$I$6)),"x",""))</f>
        <v/>
      </c>
      <c r="U203" s="50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0" t="str">
        <f>IF(OR(TH!L203=TH!$V$7,M203=TH!$V$7),"x","")</f>
        <v/>
      </c>
      <c r="W203" s="50" t="str">
        <f>IF(AND(B203&gt;='IN-NX'!$P$3,B203&lt;='IN-NX'!$Q$3,'IN-NX'!$D$7=D203,OR(LEFT(L203,2)="15",AND(LEFT(M203,2)&lt;&gt;"15",LEFT(M203,2)&lt;&gt;"33"))),"x","")</f>
        <v/>
      </c>
      <c r="X203" s="50" t="str">
        <f>IF(AND(OR(LEFT(TH!L203,2)="15",LEFT(TH!M203,2)="15"),'152-CT'!$J$8=TH!F203),"x","")</f>
        <v/>
      </c>
      <c r="Y203" s="50" t="str">
        <f>IF(AND(OR(LEFT(TH!L203,2)="15",LEFT(TH!M203,2)="15"),TK!$E$7=TH!F203),"x","")</f>
        <v/>
      </c>
      <c r="Z203" s="50" t="str">
        <f>IF(AND(B203&lt;=NKC!$N$8,B203&gt;=NKC!$M$8),"x","")</f>
        <v/>
      </c>
      <c r="AA203" s="845"/>
      <c r="AC203" s="201"/>
      <c r="AD203" s="201"/>
    </row>
    <row r="204" spans="1:30" s="201" customFormat="1" ht="15.75" customHeight="1">
      <c r="A204" s="846" t="str">
        <f>IF(B204&lt;&gt;"",IF(AND(B204&gt;=_TM1,B204&lt;=_TM2,OR(TH!L204="1111",TH!M204="1111")),TH!D204,""),"")</f>
        <v/>
      </c>
      <c r="B204" s="36" t="str">
        <f t="shared" si="6"/>
        <v/>
      </c>
      <c r="C204" s="187"/>
      <c r="D204" s="187"/>
      <c r="E204" s="187"/>
      <c r="F204" s="188"/>
      <c r="G204" s="854"/>
      <c r="H204" s="189"/>
      <c r="I204" s="249"/>
      <c r="J204" s="249"/>
      <c r="K204" s="589"/>
      <c r="L204" s="590"/>
      <c r="M204" s="590"/>
      <c r="N204" s="50" t="str">
        <f>IF(AND('331-CT'!$E$7=TH!H204,OR(L204="331",M204="331")),"331",IF(AND(OR(L204="131",M204="131"),H204='131-CT'!$E$7),"131",""))</f>
        <v/>
      </c>
      <c r="O204" s="50" t="str">
        <f>IF(AND($B204&gt;='111'!$N$11,$B204&lt;='111'!$O$11,OR($L204=$O$7,$M204=$O$7)),"x","")</f>
        <v/>
      </c>
      <c r="P204" s="50" t="str">
        <f>IF(AND($L204=$O$7,$B204&lt;'111'!$N$11),"x","")</f>
        <v/>
      </c>
      <c r="Q204" s="50" t="str">
        <f>IF(AND($M204=$O$7,$B204&lt;'111'!$N$11),"x","")</f>
        <v/>
      </c>
      <c r="R204" s="50" t="str">
        <f>IF(ISERROR(FIND('112'!$M$9,G204,1)),"",IF((AND(FIND('112'!$M$9,G204,1)&gt;=1,$B204&gt;='112'!$N$8,$B204&lt;='112'!$O$8,OR($L204='112'!$I$6,$M204='112'!$I$6))),"x",""))</f>
        <v/>
      </c>
      <c r="S204" s="50" t="str">
        <f>IF(ISERROR(FIND('112'!$M$9,G204,1)),"",IF((AND(LEFT(G204,2)=LEFT('112'!$M$9,2),B204&lt;'112'!$N$8,$L204='112'!$I$6)),"x",""))</f>
        <v/>
      </c>
      <c r="T204" s="50" t="str">
        <f>IF(ISERROR(FIND('112'!$M$9,G204,1)),"",IF((AND(RIGHT(G204,2)=RIGHT('112'!$M$9,2),B204&lt;'112'!$N$8,$M204='112'!$I$6)),"x",""))</f>
        <v/>
      </c>
      <c r="U204" s="50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0" t="str">
        <f>IF(OR(TH!L204=TH!$V$7,M204=TH!$V$7),"x","")</f>
        <v/>
      </c>
      <c r="W204" s="50" t="str">
        <f>IF(AND(B204&gt;='IN-NX'!$P$3,B204&lt;='IN-NX'!$Q$3,'IN-NX'!$D$7=D204,OR(LEFT(L204,2)="15",AND(LEFT(M204,2)&lt;&gt;"15",LEFT(M204,2)&lt;&gt;"33"))),"x","")</f>
        <v/>
      </c>
      <c r="X204" s="50" t="str">
        <f>IF(AND(OR(LEFT(TH!L204,2)="15",LEFT(TH!M204,2)="15"),'152-CT'!$J$8=TH!F204),"x","")</f>
        <v/>
      </c>
      <c r="Y204" s="50" t="str">
        <f>IF(AND(OR(LEFT(TH!L204,2)="15",LEFT(TH!M204,2)="15"),TK!$E$7=TH!F204),"x","")</f>
        <v/>
      </c>
      <c r="Z204" s="50" t="str">
        <f>IF(AND(B204&lt;=NKC!$N$8,B204&gt;=NKC!$M$8),"x","")</f>
        <v/>
      </c>
      <c r="AA204" s="845"/>
      <c r="AB204" s="581"/>
      <c r="AC204" s="581"/>
      <c r="AD204" s="581"/>
    </row>
    <row r="205" spans="1:30" s="201" customFormat="1" ht="15.75" customHeight="1">
      <c r="A205" s="846" t="str">
        <f>IF(B205&lt;&gt;"",IF(AND(B205&gt;=_TM1,B205&lt;=_TM2,OR(TH!L205="1111",TH!M205="1111")),TH!D205,""),"")</f>
        <v/>
      </c>
      <c r="B205" s="36" t="str">
        <f t="shared" si="6"/>
        <v/>
      </c>
      <c r="C205" s="187"/>
      <c r="D205" s="187"/>
      <c r="E205" s="187"/>
      <c r="F205" s="188"/>
      <c r="G205" s="854"/>
      <c r="H205" s="189"/>
      <c r="I205" s="249"/>
      <c r="J205" s="249"/>
      <c r="K205" s="589"/>
      <c r="L205" s="590"/>
      <c r="M205" s="590"/>
      <c r="N205" s="50" t="str">
        <f>IF(AND('331-CT'!$E$7=TH!H205,OR(L205="331",M205="331")),"331",IF(AND(OR(L205="131",M205="131"),H205='131-CT'!$E$7),"131",""))</f>
        <v/>
      </c>
      <c r="O205" s="50" t="str">
        <f>IF(AND($B205&gt;='111'!$N$11,$B205&lt;='111'!$O$11,OR($L205=$O$7,$M205=$O$7)),"x","")</f>
        <v/>
      </c>
      <c r="P205" s="50" t="str">
        <f>IF(AND($L205=$O$7,$B205&lt;'111'!$N$11),"x","")</f>
        <v/>
      </c>
      <c r="Q205" s="50" t="str">
        <f>IF(AND($M205=$O$7,$B205&lt;'111'!$N$11),"x","")</f>
        <v/>
      </c>
      <c r="R205" s="50" t="str">
        <f>IF(ISERROR(FIND('112'!$M$9,G205,1)),"",IF((AND(FIND('112'!$M$9,G205,1)&gt;=1,$B205&gt;='112'!$N$8,$B205&lt;='112'!$O$8,OR($L205='112'!$I$6,$M205='112'!$I$6))),"x",""))</f>
        <v/>
      </c>
      <c r="S205" s="50" t="str">
        <f>IF(ISERROR(FIND('112'!$M$9,G205,1)),"",IF((AND(LEFT(G205,2)=LEFT('112'!$M$9,2),B205&lt;'112'!$N$8,$L205='112'!$I$6)),"x",""))</f>
        <v/>
      </c>
      <c r="T205" s="50" t="str">
        <f>IF(ISERROR(FIND('112'!$M$9,G205,1)),"",IF((AND(RIGHT(G205,2)=RIGHT('112'!$M$9,2),B205&lt;'112'!$N$8,$M205='112'!$I$6)),"x",""))</f>
        <v/>
      </c>
      <c r="U205" s="50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0" t="str">
        <f>IF(OR(TH!L205=TH!$V$7,M205=TH!$V$7),"x","")</f>
        <v/>
      </c>
      <c r="W205" s="50" t="str">
        <f>IF(AND(B205&gt;='IN-NX'!$P$3,B205&lt;='IN-NX'!$Q$3,'IN-NX'!$D$7=D205,OR(LEFT(L205,2)="15",AND(LEFT(M205,2)&lt;&gt;"15",LEFT(M205,2)&lt;&gt;"33"))),"x","")</f>
        <v/>
      </c>
      <c r="X205" s="50" t="str">
        <f>IF(AND(OR(LEFT(TH!L205,2)="15",LEFT(TH!M205,2)="15"),'152-CT'!$J$8=TH!F205),"x","")</f>
        <v/>
      </c>
      <c r="Y205" s="50" t="str">
        <f>IF(AND(OR(LEFT(TH!L205,2)="15",LEFT(TH!M205,2)="15"),TK!$E$7=TH!F205),"x","")</f>
        <v/>
      </c>
      <c r="Z205" s="50" t="str">
        <f>IF(AND(B205&lt;=NKC!$N$8,B205&gt;=NKC!$M$8),"x","")</f>
        <v/>
      </c>
      <c r="AA205" s="845"/>
      <c r="AB205" s="581"/>
      <c r="AC205" s="581"/>
      <c r="AD205" s="581"/>
    </row>
    <row r="206" spans="1:30" s="201" customFormat="1" ht="15.75" customHeight="1">
      <c r="A206" s="846" t="str">
        <f>IF(B206&lt;&gt;"",IF(AND(B206&gt;=_TM1,B206&lt;=_TM2,OR(TH!L206="1111",TH!M206="1111")),TH!D206,""),"")</f>
        <v/>
      </c>
      <c r="B206" s="36" t="str">
        <f t="shared" si="6"/>
        <v/>
      </c>
      <c r="C206" s="187"/>
      <c r="D206" s="187"/>
      <c r="E206" s="187"/>
      <c r="F206" s="188"/>
      <c r="G206" s="854"/>
      <c r="H206" s="189"/>
      <c r="I206" s="249"/>
      <c r="J206" s="249"/>
      <c r="K206" s="589"/>
      <c r="L206" s="590"/>
      <c r="M206" s="590"/>
      <c r="N206" s="50" t="str">
        <f>IF(AND('331-CT'!$E$7=TH!H206,OR(L206="331",M206="331")),"331",IF(AND(OR(L206="131",M206="131"),H206='131-CT'!$E$7),"131",""))</f>
        <v/>
      </c>
      <c r="O206" s="50" t="str">
        <f>IF(AND($B206&gt;='111'!$N$11,$B206&lt;='111'!$O$11,OR($L206=$O$7,$M206=$O$7)),"x","")</f>
        <v/>
      </c>
      <c r="P206" s="50" t="str">
        <f>IF(AND($L206=$O$7,$B206&lt;'111'!$N$11),"x","")</f>
        <v/>
      </c>
      <c r="Q206" s="50" t="str">
        <f>IF(AND($M206=$O$7,$B206&lt;'111'!$N$11),"x","")</f>
        <v/>
      </c>
      <c r="R206" s="50" t="str">
        <f>IF(ISERROR(FIND('112'!$M$9,G206,1)),"",IF((AND(FIND('112'!$M$9,G206,1)&gt;=1,$B206&gt;='112'!$N$8,$B206&lt;='112'!$O$8,OR($L206='112'!$I$6,$M206='112'!$I$6))),"x",""))</f>
        <v/>
      </c>
      <c r="S206" s="50" t="str">
        <f>IF(ISERROR(FIND('112'!$M$9,G206,1)),"",IF((AND(LEFT(G206,2)=LEFT('112'!$M$9,2),B206&lt;'112'!$N$8,$L206='112'!$I$6)),"x",""))</f>
        <v/>
      </c>
      <c r="T206" s="50" t="str">
        <f>IF(ISERROR(FIND('112'!$M$9,G206,1)),"",IF((AND(RIGHT(G206,2)=RIGHT('112'!$M$9,2),B206&lt;'112'!$N$8,$M206='112'!$I$6)),"x",""))</f>
        <v/>
      </c>
      <c r="U206" s="50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0" t="str">
        <f>IF(OR(TH!L206=TH!$V$7,M206=TH!$V$7),"x","")</f>
        <v/>
      </c>
      <c r="W206" s="50" t="str">
        <f>IF(AND(B206&gt;='IN-NX'!$P$3,B206&lt;='IN-NX'!$Q$3,'IN-NX'!$D$7=D206,OR(LEFT(L206,2)="15",AND(LEFT(M206,2)&lt;&gt;"15",LEFT(M206,2)&lt;&gt;"33"))),"x","")</f>
        <v/>
      </c>
      <c r="X206" s="50" t="str">
        <f>IF(AND(OR(LEFT(TH!L206,2)="15",LEFT(TH!M206,2)="15"),'152-CT'!$J$8=TH!F206),"x","")</f>
        <v/>
      </c>
      <c r="Y206" s="50" t="str">
        <f>IF(AND(OR(LEFT(TH!L206,2)="15",LEFT(TH!M206,2)="15"),TK!$E$7=TH!F206),"x","")</f>
        <v/>
      </c>
      <c r="Z206" s="50" t="str">
        <f>IF(AND(B206&lt;=NKC!$N$8,B206&gt;=NKC!$M$8),"x","")</f>
        <v/>
      </c>
      <c r="AA206" s="845"/>
      <c r="AB206" s="581"/>
    </row>
    <row r="207" spans="1:30" s="201" customFormat="1" ht="15.75" customHeight="1">
      <c r="A207" s="846" t="str">
        <f>IF(B207&lt;&gt;"",IF(AND(B207&gt;=_TM1,B207&lt;=_TM2,OR(TH!L207="1111",TH!M207="1111")),TH!D207,""),"")</f>
        <v/>
      </c>
      <c r="B207" s="36" t="str">
        <f t="shared" si="6"/>
        <v/>
      </c>
      <c r="C207" s="187"/>
      <c r="D207" s="187"/>
      <c r="E207" s="187"/>
      <c r="F207" s="188"/>
      <c r="G207" s="854"/>
      <c r="H207" s="189"/>
      <c r="I207" s="249"/>
      <c r="J207" s="249"/>
      <c r="K207" s="589"/>
      <c r="L207" s="590"/>
      <c r="M207" s="590"/>
      <c r="N207" s="50" t="str">
        <f>IF(AND('331-CT'!$E$7=TH!H207,OR(L207="331",M207="331")),"331",IF(AND(OR(L207="131",M207="131"),H207='131-CT'!$E$7),"131",""))</f>
        <v/>
      </c>
      <c r="O207" s="50" t="str">
        <f>IF(AND($B207&gt;='111'!$N$11,$B207&lt;='111'!$O$11,OR($L207=$O$7,$M207=$O$7)),"x","")</f>
        <v/>
      </c>
      <c r="P207" s="50" t="str">
        <f>IF(AND($L207=$O$7,$B207&lt;'111'!$N$11),"x","")</f>
        <v/>
      </c>
      <c r="Q207" s="50" t="str">
        <f>IF(AND($M207=$O$7,$B207&lt;'111'!$N$11),"x","")</f>
        <v/>
      </c>
      <c r="R207" s="50" t="str">
        <f>IF(ISERROR(FIND('112'!$M$9,G207,1)),"",IF((AND(FIND('112'!$M$9,G207,1)&gt;=1,$B207&gt;='112'!$N$8,$B207&lt;='112'!$O$8,OR($L207='112'!$I$6,$M207='112'!$I$6))),"x",""))</f>
        <v/>
      </c>
      <c r="S207" s="50" t="str">
        <f>IF(ISERROR(FIND('112'!$M$9,G207,1)),"",IF((AND(LEFT(G207,2)=LEFT('112'!$M$9,2),B207&lt;'112'!$N$8,$L207='112'!$I$6)),"x",""))</f>
        <v/>
      </c>
      <c r="T207" s="50" t="str">
        <f>IF(ISERROR(FIND('112'!$M$9,G207,1)),"",IF((AND(RIGHT(G207,2)=RIGHT('112'!$M$9,2),B207&lt;'112'!$N$8,$M207='112'!$I$6)),"x",""))</f>
        <v/>
      </c>
      <c r="U207" s="50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0" t="str">
        <f>IF(OR(TH!L207=TH!$V$7,M207=TH!$V$7),"x","")</f>
        <v/>
      </c>
      <c r="W207" s="50" t="str">
        <f>IF(AND(B207&gt;='IN-NX'!$P$3,B207&lt;='IN-NX'!$Q$3,'IN-NX'!$D$7=D207,OR(LEFT(L207,2)="15",AND(LEFT(M207,2)&lt;&gt;"15",LEFT(M207,2)&lt;&gt;"33"))),"x","")</f>
        <v/>
      </c>
      <c r="X207" s="50" t="str">
        <f>IF(AND(OR(LEFT(TH!L207,2)="15",LEFT(TH!M207,2)="15"),'152-CT'!$J$8=TH!F207),"x","")</f>
        <v/>
      </c>
      <c r="Y207" s="50" t="str">
        <f>IF(AND(OR(LEFT(TH!L207,2)="15",LEFT(TH!M207,2)="15"),TK!$E$7=TH!F207),"x","")</f>
        <v/>
      </c>
      <c r="Z207" s="50" t="str">
        <f>IF(AND(B207&lt;=NKC!$N$8,B207&gt;=NKC!$M$8),"x","")</f>
        <v/>
      </c>
      <c r="AA207" s="845"/>
      <c r="AB207" s="581"/>
    </row>
    <row r="208" spans="1:30" s="201" customFormat="1" ht="15.75" customHeight="1">
      <c r="A208" s="846" t="str">
        <f>IF(B208&lt;&gt;"",IF(AND(B208&gt;=_TM1,B208&lt;=_TM2,OR(TH!L208="1111",TH!M208="1111")),TH!D208,""),"")</f>
        <v/>
      </c>
      <c r="B208" s="36" t="str">
        <f t="shared" si="6"/>
        <v/>
      </c>
      <c r="C208" s="187"/>
      <c r="D208" s="187"/>
      <c r="E208" s="187"/>
      <c r="F208" s="188"/>
      <c r="G208" s="854"/>
      <c r="H208" s="189"/>
      <c r="I208" s="249"/>
      <c r="J208" s="249"/>
      <c r="K208" s="589"/>
      <c r="L208" s="590"/>
      <c r="M208" s="590"/>
      <c r="N208" s="50" t="str">
        <f>IF(AND('331-CT'!$E$7=TH!H208,OR(L208="331",M208="331")),"331",IF(AND(OR(L208="131",M208="131"),H208='131-CT'!$E$7),"131",""))</f>
        <v/>
      </c>
      <c r="O208" s="50" t="str">
        <f>IF(AND($B208&gt;='111'!$N$11,$B208&lt;='111'!$O$11,OR($L208=$O$7,$M208=$O$7)),"x","")</f>
        <v/>
      </c>
      <c r="P208" s="50" t="str">
        <f>IF(AND($L208=$O$7,$B208&lt;'111'!$N$11),"x","")</f>
        <v/>
      </c>
      <c r="Q208" s="50" t="str">
        <f>IF(AND($M208=$O$7,$B208&lt;'111'!$N$11),"x","")</f>
        <v/>
      </c>
      <c r="R208" s="50" t="str">
        <f>IF(ISERROR(FIND('112'!$M$9,G208,1)),"",IF((AND(FIND('112'!$M$9,G208,1)&gt;=1,$B208&gt;='112'!$N$8,$B208&lt;='112'!$O$8,OR($L208='112'!$I$6,$M208='112'!$I$6))),"x",""))</f>
        <v/>
      </c>
      <c r="S208" s="50" t="str">
        <f>IF(ISERROR(FIND('112'!$M$9,G208,1)),"",IF((AND(LEFT(G208,2)=LEFT('112'!$M$9,2),B208&lt;'112'!$N$8,$L208='112'!$I$6)),"x",""))</f>
        <v/>
      </c>
      <c r="T208" s="50" t="str">
        <f>IF(ISERROR(FIND('112'!$M$9,G208,1)),"",IF((AND(RIGHT(G208,2)=RIGHT('112'!$M$9,2),B208&lt;'112'!$N$8,$M208='112'!$I$6)),"x",""))</f>
        <v/>
      </c>
      <c r="U208" s="50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0" t="str">
        <f>IF(OR(TH!L208=TH!$V$7,M208=TH!$V$7),"x","")</f>
        <v/>
      </c>
      <c r="W208" s="50" t="str">
        <f>IF(AND(B208&gt;='IN-NX'!$P$3,B208&lt;='IN-NX'!$Q$3,'IN-NX'!$D$7=D208,OR(LEFT(L208,2)="15",AND(LEFT(M208,2)&lt;&gt;"15",LEFT(M208,2)&lt;&gt;"33"))),"x","")</f>
        <v/>
      </c>
      <c r="X208" s="50" t="str">
        <f>IF(AND(OR(LEFT(TH!L208,2)="15",LEFT(TH!M208,2)="15"),'152-CT'!$J$8=TH!F208),"x","")</f>
        <v/>
      </c>
      <c r="Y208" s="50" t="str">
        <f>IF(AND(OR(LEFT(TH!L208,2)="15",LEFT(TH!M208,2)="15"),TK!$E$7=TH!F208),"x","")</f>
        <v/>
      </c>
      <c r="Z208" s="50" t="str">
        <f>IF(AND(B208&lt;=NKC!$N$8,B208&gt;=NKC!$M$8),"x","")</f>
        <v/>
      </c>
      <c r="AA208" s="845"/>
      <c r="AB208" s="581"/>
    </row>
    <row r="209" spans="1:30" s="201" customFormat="1" ht="15.75" customHeight="1">
      <c r="A209" s="846" t="str">
        <f>IF(B209&lt;&gt;"",IF(AND(B209&gt;=_TM1,B209&lt;=_TM2,OR(TH!L209="1111",TH!M209="1111")),TH!D209,""),"")</f>
        <v/>
      </c>
      <c r="B209" s="36" t="str">
        <f t="shared" si="6"/>
        <v/>
      </c>
      <c r="C209" s="187"/>
      <c r="D209" s="187"/>
      <c r="E209" s="187"/>
      <c r="F209" s="188"/>
      <c r="G209" s="854"/>
      <c r="H209" s="189"/>
      <c r="I209" s="249"/>
      <c r="J209" s="249"/>
      <c r="K209" s="589"/>
      <c r="L209" s="590"/>
      <c r="M209" s="590"/>
      <c r="N209" s="50" t="str">
        <f>IF(AND('331-CT'!$E$7=TH!H209,OR(L209="331",M209="331")),"331",IF(AND(OR(L209="131",M209="131"),H209='131-CT'!$E$7),"131",""))</f>
        <v/>
      </c>
      <c r="O209" s="50" t="str">
        <f>IF(AND($B209&gt;='111'!$N$11,$B209&lt;='111'!$O$11,OR($L209=$O$7,$M209=$O$7)),"x","")</f>
        <v/>
      </c>
      <c r="P209" s="50" t="str">
        <f>IF(AND($L209=$O$7,$B209&lt;'111'!$N$11),"x","")</f>
        <v/>
      </c>
      <c r="Q209" s="50" t="str">
        <f>IF(AND($M209=$O$7,$B209&lt;'111'!$N$11),"x","")</f>
        <v/>
      </c>
      <c r="R209" s="50" t="str">
        <f>IF(ISERROR(FIND('112'!$M$9,G209,1)),"",IF((AND(FIND('112'!$M$9,G209,1)&gt;=1,$B209&gt;='112'!$N$8,$B209&lt;='112'!$O$8,OR($L209='112'!$I$6,$M209='112'!$I$6))),"x",""))</f>
        <v/>
      </c>
      <c r="S209" s="50" t="str">
        <f>IF(ISERROR(FIND('112'!$M$9,G209,1)),"",IF((AND(LEFT(G209,2)=LEFT('112'!$M$9,2),B209&lt;'112'!$N$8,$L209='112'!$I$6)),"x",""))</f>
        <v/>
      </c>
      <c r="T209" s="50" t="str">
        <f>IF(ISERROR(FIND('112'!$M$9,G209,1)),"",IF((AND(RIGHT(G209,2)=RIGHT('112'!$M$9,2),B209&lt;'112'!$N$8,$M209='112'!$I$6)),"x",""))</f>
        <v/>
      </c>
      <c r="U209" s="50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0" t="str">
        <f>IF(OR(TH!L209=TH!$V$7,M209=TH!$V$7),"x","")</f>
        <v/>
      </c>
      <c r="W209" s="50" t="str">
        <f>IF(AND(B209&gt;='IN-NX'!$P$3,B209&lt;='IN-NX'!$Q$3,'IN-NX'!$D$7=D209,OR(LEFT(L209,2)="15",AND(LEFT(M209,2)&lt;&gt;"15",LEFT(M209,2)&lt;&gt;"33"))),"x","")</f>
        <v/>
      </c>
      <c r="X209" s="50" t="str">
        <f>IF(AND(OR(LEFT(TH!L209,2)="15",LEFT(TH!M209,2)="15"),'152-CT'!$J$8=TH!F209),"x","")</f>
        <v/>
      </c>
      <c r="Y209" s="50" t="str">
        <f>IF(AND(OR(LEFT(TH!L209,2)="15",LEFT(TH!M209,2)="15"),TK!$E$7=TH!F209),"x","")</f>
        <v/>
      </c>
      <c r="Z209" s="50" t="str">
        <f>IF(AND(B209&lt;=NKC!$N$8,B209&gt;=NKC!$M$8),"x","")</f>
        <v/>
      </c>
      <c r="AA209" s="845"/>
      <c r="AB209" s="581"/>
    </row>
    <row r="210" spans="1:30" s="201" customFormat="1" ht="15.75" customHeight="1">
      <c r="A210" s="846" t="str">
        <f>IF(B210&lt;&gt;"",IF(AND(B210&gt;=_TM1,B210&lt;=_TM2,OR(TH!L210="1111",TH!M210="1111")),TH!D210,""),"")</f>
        <v/>
      </c>
      <c r="B210" s="36" t="str">
        <f t="shared" si="6"/>
        <v/>
      </c>
      <c r="C210" s="187"/>
      <c r="D210" s="187"/>
      <c r="E210" s="187"/>
      <c r="F210" s="188"/>
      <c r="G210" s="854"/>
      <c r="H210" s="189"/>
      <c r="I210" s="249"/>
      <c r="J210" s="249"/>
      <c r="K210" s="589"/>
      <c r="L210" s="590"/>
      <c r="M210" s="590"/>
      <c r="N210" s="50" t="str">
        <f>IF(AND('331-CT'!$E$7=TH!H210,OR(L210="331",M210="331")),"331",IF(AND(OR(L210="131",M210="131"),H210='131-CT'!$E$7),"131",""))</f>
        <v/>
      </c>
      <c r="O210" s="50" t="str">
        <f>IF(AND($B210&gt;='111'!$N$11,$B210&lt;='111'!$O$11,OR($L210=$O$7,$M210=$O$7)),"x","")</f>
        <v/>
      </c>
      <c r="P210" s="50" t="str">
        <f>IF(AND($L210=$O$7,$B210&lt;'111'!$N$11),"x","")</f>
        <v/>
      </c>
      <c r="Q210" s="50" t="str">
        <f>IF(AND($M210=$O$7,$B210&lt;'111'!$N$11),"x","")</f>
        <v/>
      </c>
      <c r="R210" s="50" t="str">
        <f>IF(ISERROR(FIND('112'!$M$9,G210,1)),"",IF((AND(FIND('112'!$M$9,G210,1)&gt;=1,$B210&gt;='112'!$N$8,$B210&lt;='112'!$O$8,OR($L210='112'!$I$6,$M210='112'!$I$6))),"x",""))</f>
        <v/>
      </c>
      <c r="S210" s="50" t="str">
        <f>IF(ISERROR(FIND('112'!$M$9,G210,1)),"",IF((AND(LEFT(G210,2)=LEFT('112'!$M$9,2),B210&lt;'112'!$N$8,$L210='112'!$I$6)),"x",""))</f>
        <v/>
      </c>
      <c r="T210" s="50" t="str">
        <f>IF(ISERROR(FIND('112'!$M$9,G210,1)),"",IF((AND(RIGHT(G210,2)=RIGHT('112'!$M$9,2),B210&lt;'112'!$N$8,$M210='112'!$I$6)),"x",""))</f>
        <v/>
      </c>
      <c r="U210" s="50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0" t="str">
        <f>IF(OR(TH!L210=TH!$V$7,M210=TH!$V$7),"x","")</f>
        <v/>
      </c>
      <c r="W210" s="50" t="str">
        <f>IF(AND(B210&gt;='IN-NX'!$P$3,B210&lt;='IN-NX'!$Q$3,'IN-NX'!$D$7=D210,OR(LEFT(L210,2)="15",AND(LEFT(M210,2)&lt;&gt;"15",LEFT(M210,2)&lt;&gt;"33"))),"x","")</f>
        <v/>
      </c>
      <c r="X210" s="50" t="str">
        <f>IF(AND(OR(LEFT(TH!L210,2)="15",LEFT(TH!M210,2)="15"),'152-CT'!$J$8=TH!F210),"x","")</f>
        <v/>
      </c>
      <c r="Y210" s="50" t="str">
        <f>IF(AND(OR(LEFT(TH!L210,2)="15",LEFT(TH!M210,2)="15"),TK!$E$7=TH!F210),"x","")</f>
        <v/>
      </c>
      <c r="Z210" s="50" t="str">
        <f>IF(AND(B210&lt;=NKC!$N$8,B210&gt;=NKC!$M$8),"x","")</f>
        <v/>
      </c>
      <c r="AA210" s="845"/>
      <c r="AB210" s="581"/>
    </row>
    <row r="211" spans="1:30" s="201" customFormat="1" ht="15.75" customHeight="1">
      <c r="A211" s="846" t="str">
        <f>IF(B211&lt;&gt;"",IF(AND(B211&gt;=_TM1,B211&lt;=_TM2,OR(TH!L211="1111",TH!M211="1111")),TH!D211,""),"")</f>
        <v/>
      </c>
      <c r="B211" s="36" t="str">
        <f t="shared" si="6"/>
        <v/>
      </c>
      <c r="C211" s="187"/>
      <c r="D211" s="187"/>
      <c r="E211" s="187"/>
      <c r="F211" s="188"/>
      <c r="G211" s="854"/>
      <c r="H211" s="189"/>
      <c r="I211" s="249"/>
      <c r="J211" s="249"/>
      <c r="K211" s="589"/>
      <c r="L211" s="590"/>
      <c r="M211" s="590"/>
      <c r="N211" s="50" t="str">
        <f>IF(AND('331-CT'!$E$7=TH!H211,OR(L211="331",M211="331")),"331",IF(AND(OR(L211="131",M211="131"),H211='131-CT'!$E$7),"131",""))</f>
        <v/>
      </c>
      <c r="O211" s="50" t="str">
        <f>IF(AND($B211&gt;='111'!$N$11,$B211&lt;='111'!$O$11,OR($L211=$O$7,$M211=$O$7)),"x","")</f>
        <v/>
      </c>
      <c r="P211" s="50" t="str">
        <f>IF(AND($L211=$O$7,$B211&lt;'111'!$N$11),"x","")</f>
        <v/>
      </c>
      <c r="Q211" s="50" t="str">
        <f>IF(AND($M211=$O$7,$B211&lt;'111'!$N$11),"x","")</f>
        <v/>
      </c>
      <c r="R211" s="50" t="str">
        <f>IF(ISERROR(FIND('112'!$M$9,G211,1)),"",IF((AND(FIND('112'!$M$9,G211,1)&gt;=1,$B211&gt;='112'!$N$8,$B211&lt;='112'!$O$8,OR($L211='112'!$I$6,$M211='112'!$I$6))),"x",""))</f>
        <v/>
      </c>
      <c r="S211" s="50" t="str">
        <f>IF(ISERROR(FIND('112'!$M$9,G211,1)),"",IF((AND(LEFT(G211,2)=LEFT('112'!$M$9,2),B211&lt;'112'!$N$8,$L211='112'!$I$6)),"x",""))</f>
        <v/>
      </c>
      <c r="T211" s="50" t="str">
        <f>IF(ISERROR(FIND('112'!$M$9,G211,1)),"",IF((AND(RIGHT(G211,2)=RIGHT('112'!$M$9,2),B211&lt;'112'!$N$8,$M211='112'!$I$6)),"x",""))</f>
        <v/>
      </c>
      <c r="U211" s="50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0" t="str">
        <f>IF(OR(TH!L211=TH!$V$7,M211=TH!$V$7),"x","")</f>
        <v/>
      </c>
      <c r="W211" s="50" t="str">
        <f>IF(AND(B211&gt;='IN-NX'!$P$3,B211&lt;='IN-NX'!$Q$3,'IN-NX'!$D$7=D211,OR(LEFT(L211,2)="15",AND(LEFT(M211,2)&lt;&gt;"15",LEFT(M211,2)&lt;&gt;"33"))),"x","")</f>
        <v/>
      </c>
      <c r="X211" s="50" t="str">
        <f>IF(AND(OR(LEFT(TH!L211,2)="15",LEFT(TH!M211,2)="15"),'152-CT'!$J$8=TH!F211),"x","")</f>
        <v/>
      </c>
      <c r="Y211" s="50" t="str">
        <f>IF(AND(OR(LEFT(TH!L211,2)="15",LEFT(TH!M211,2)="15"),TK!$E$7=TH!F211),"x","")</f>
        <v/>
      </c>
      <c r="Z211" s="50" t="str">
        <f>IF(AND(B211&lt;=NKC!$N$8,B211&gt;=NKC!$M$8),"x","")</f>
        <v/>
      </c>
      <c r="AA211" s="845"/>
      <c r="AB211" s="581"/>
    </row>
    <row r="212" spans="1:30" s="201" customFormat="1" ht="15.75" customHeight="1">
      <c r="A212" s="846" t="str">
        <f>IF(B212&lt;&gt;"",IF(AND(B212&gt;=_TM1,B212&lt;=_TM2,OR(TH!L212="1111",TH!M212="1111")),TH!D212,""),"")</f>
        <v/>
      </c>
      <c r="B212" s="36" t="str">
        <f t="shared" si="6"/>
        <v/>
      </c>
      <c r="C212" s="187"/>
      <c r="D212" s="187"/>
      <c r="E212" s="187"/>
      <c r="F212" s="188"/>
      <c r="G212" s="854"/>
      <c r="H212" s="189"/>
      <c r="I212" s="249"/>
      <c r="J212" s="249"/>
      <c r="K212" s="589"/>
      <c r="L212" s="590"/>
      <c r="M212" s="590"/>
      <c r="N212" s="50" t="str">
        <f>IF(AND('331-CT'!$E$7=TH!H212,OR(L212="331",M212="331")),"331",IF(AND(OR(L212="131",M212="131"),H212='131-CT'!$E$7),"131",""))</f>
        <v/>
      </c>
      <c r="O212" s="50" t="str">
        <f>IF(AND($B212&gt;='111'!$N$11,$B212&lt;='111'!$O$11,OR($L212=$O$7,$M212=$O$7)),"x","")</f>
        <v/>
      </c>
      <c r="P212" s="50" t="str">
        <f>IF(AND($L212=$O$7,$B212&lt;'111'!$N$11),"x","")</f>
        <v/>
      </c>
      <c r="Q212" s="50" t="str">
        <f>IF(AND($M212=$O$7,$B212&lt;'111'!$N$11),"x","")</f>
        <v/>
      </c>
      <c r="R212" s="50" t="str">
        <f>IF(ISERROR(FIND('112'!$M$9,G212,1)),"",IF((AND(FIND('112'!$M$9,G212,1)&gt;=1,$B212&gt;='112'!$N$8,$B212&lt;='112'!$O$8,OR($L212='112'!$I$6,$M212='112'!$I$6))),"x",""))</f>
        <v/>
      </c>
      <c r="S212" s="50" t="str">
        <f>IF(ISERROR(FIND('112'!$M$9,G212,1)),"",IF((AND(LEFT(G212,2)=LEFT('112'!$M$9,2),B212&lt;'112'!$N$8,$L212='112'!$I$6)),"x",""))</f>
        <v/>
      </c>
      <c r="T212" s="50" t="str">
        <f>IF(ISERROR(FIND('112'!$M$9,G212,1)),"",IF((AND(RIGHT(G212,2)=RIGHT('112'!$M$9,2),B212&lt;'112'!$N$8,$M212='112'!$I$6)),"x",""))</f>
        <v/>
      </c>
      <c r="U212" s="50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0" t="str">
        <f>IF(OR(TH!L212=TH!$V$7,M212=TH!$V$7),"x","")</f>
        <v/>
      </c>
      <c r="W212" s="50" t="str">
        <f>IF(AND(B212&gt;='IN-NX'!$P$3,B212&lt;='IN-NX'!$Q$3,'IN-NX'!$D$7=D212,OR(LEFT(L212,2)="15",AND(LEFT(M212,2)&lt;&gt;"15",LEFT(M212,2)&lt;&gt;"33"))),"x","")</f>
        <v/>
      </c>
      <c r="X212" s="50" t="str">
        <f>IF(AND(OR(LEFT(TH!L212,2)="15",LEFT(TH!M212,2)="15"),'152-CT'!$J$8=TH!F212),"x","")</f>
        <v/>
      </c>
      <c r="Y212" s="50" t="str">
        <f>IF(AND(OR(LEFT(TH!L212,2)="15",LEFT(TH!M212,2)="15"),TK!$E$7=TH!F212),"x","")</f>
        <v/>
      </c>
      <c r="Z212" s="50" t="str">
        <f>IF(AND(B212&lt;=NKC!$N$8,B212&gt;=NKC!$M$8),"x","")</f>
        <v/>
      </c>
      <c r="AA212" s="845"/>
      <c r="AB212" s="581"/>
    </row>
    <row r="213" spans="1:30" s="201" customFormat="1" ht="15.75" customHeight="1">
      <c r="A213" s="846" t="str">
        <f>IF(B213&lt;&gt;"",IF(AND(B213&gt;=_TM1,B213&lt;=_TM2,OR(TH!L213="1111",TH!M213="1111")),TH!D213,""),"")</f>
        <v/>
      </c>
      <c r="B213" s="36" t="str">
        <f t="shared" si="6"/>
        <v/>
      </c>
      <c r="C213" s="187"/>
      <c r="D213" s="187"/>
      <c r="E213" s="187"/>
      <c r="F213" s="188"/>
      <c r="G213" s="854"/>
      <c r="H213" s="189"/>
      <c r="I213" s="249"/>
      <c r="J213" s="249"/>
      <c r="K213" s="589"/>
      <c r="L213" s="590"/>
      <c r="M213" s="590"/>
      <c r="N213" s="50" t="str">
        <f>IF(AND('331-CT'!$E$7=TH!H213,OR(L213="331",M213="331")),"331",IF(AND(OR(L213="131",M213="131"),H213='131-CT'!$E$7),"131",""))</f>
        <v/>
      </c>
      <c r="O213" s="50" t="str">
        <f>IF(AND($B213&gt;='111'!$N$11,$B213&lt;='111'!$O$11,OR($L213=$O$7,$M213=$O$7)),"x","")</f>
        <v/>
      </c>
      <c r="P213" s="50" t="str">
        <f>IF(AND($L213=$O$7,$B213&lt;'111'!$N$11),"x","")</f>
        <v/>
      </c>
      <c r="Q213" s="50" t="str">
        <f>IF(AND($M213=$O$7,$B213&lt;'111'!$N$11),"x","")</f>
        <v/>
      </c>
      <c r="R213" s="50" t="str">
        <f>IF(ISERROR(FIND('112'!$M$9,G213,1)),"",IF((AND(FIND('112'!$M$9,G213,1)&gt;=1,$B213&gt;='112'!$N$8,$B213&lt;='112'!$O$8,OR($L213='112'!$I$6,$M213='112'!$I$6))),"x",""))</f>
        <v/>
      </c>
      <c r="S213" s="50" t="str">
        <f>IF(ISERROR(FIND('112'!$M$9,G213,1)),"",IF((AND(LEFT(G213,2)=LEFT('112'!$M$9,2),B213&lt;'112'!$N$8,$L213='112'!$I$6)),"x",""))</f>
        <v/>
      </c>
      <c r="T213" s="50" t="str">
        <f>IF(ISERROR(FIND('112'!$M$9,G213,1)),"",IF((AND(RIGHT(G213,2)=RIGHT('112'!$M$9,2),B213&lt;'112'!$N$8,$M213='112'!$I$6)),"x",""))</f>
        <v/>
      </c>
      <c r="U213" s="50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0" t="str">
        <f>IF(OR(TH!L213=TH!$V$7,M213=TH!$V$7),"x","")</f>
        <v/>
      </c>
      <c r="W213" s="50" t="str">
        <f>IF(AND(B213&gt;='IN-NX'!$P$3,B213&lt;='IN-NX'!$Q$3,'IN-NX'!$D$7=D213,OR(LEFT(L213,2)="15",AND(LEFT(M213,2)&lt;&gt;"15",LEFT(M213,2)&lt;&gt;"33"))),"x","")</f>
        <v/>
      </c>
      <c r="X213" s="50" t="str">
        <f>IF(AND(OR(LEFT(TH!L213,2)="15",LEFT(TH!M213,2)="15"),'152-CT'!$J$8=TH!F213),"x","")</f>
        <v/>
      </c>
      <c r="Y213" s="50" t="str">
        <f>IF(AND(OR(LEFT(TH!L213,2)="15",LEFT(TH!M213,2)="15"),TK!$E$7=TH!F213),"x","")</f>
        <v/>
      </c>
      <c r="Z213" s="50" t="str">
        <f>IF(AND(B213&lt;=NKC!$N$8,B213&gt;=NKC!$M$8),"x","")</f>
        <v/>
      </c>
      <c r="AA213" s="845"/>
      <c r="AB213" s="581"/>
    </row>
    <row r="214" spans="1:30" s="201" customFormat="1" ht="15.75" customHeight="1">
      <c r="A214" s="846" t="str">
        <f>IF(B214&lt;&gt;"",IF(AND(B214&gt;=_TM1,B214&lt;=_TM2,OR(TH!L214="1111",TH!M214="1111")),TH!D214,""),"")</f>
        <v/>
      </c>
      <c r="B214" s="36" t="str">
        <f t="shared" si="6"/>
        <v/>
      </c>
      <c r="C214" s="187"/>
      <c r="D214" s="187"/>
      <c r="E214" s="187"/>
      <c r="F214" s="188"/>
      <c r="G214" s="854"/>
      <c r="H214" s="189"/>
      <c r="I214" s="249"/>
      <c r="J214" s="249"/>
      <c r="K214" s="589"/>
      <c r="L214" s="590"/>
      <c r="M214" s="590"/>
      <c r="N214" s="50" t="str">
        <f>IF(AND('331-CT'!$E$7=TH!H214,OR(L214="331",M214="331")),"331",IF(AND(OR(L214="131",M214="131"),H214='131-CT'!$E$7),"131",""))</f>
        <v/>
      </c>
      <c r="O214" s="50" t="str">
        <f>IF(AND($B214&gt;='111'!$N$11,$B214&lt;='111'!$O$11,OR($L214=$O$7,$M214=$O$7)),"x","")</f>
        <v/>
      </c>
      <c r="P214" s="50" t="str">
        <f>IF(AND($L214=$O$7,$B214&lt;'111'!$N$11),"x","")</f>
        <v/>
      </c>
      <c r="Q214" s="50" t="str">
        <f>IF(AND($M214=$O$7,$B214&lt;'111'!$N$11),"x","")</f>
        <v/>
      </c>
      <c r="R214" s="50" t="str">
        <f>IF(ISERROR(FIND('112'!$M$9,G214,1)),"",IF((AND(FIND('112'!$M$9,G214,1)&gt;=1,$B214&gt;='112'!$N$8,$B214&lt;='112'!$O$8,OR($L214='112'!$I$6,$M214='112'!$I$6))),"x",""))</f>
        <v/>
      </c>
      <c r="S214" s="50" t="str">
        <f>IF(ISERROR(FIND('112'!$M$9,G214,1)),"",IF((AND(LEFT(G214,2)=LEFT('112'!$M$9,2),B214&lt;'112'!$N$8,$L214='112'!$I$6)),"x",""))</f>
        <v/>
      </c>
      <c r="T214" s="50" t="str">
        <f>IF(ISERROR(FIND('112'!$M$9,G214,1)),"",IF((AND(RIGHT(G214,2)=RIGHT('112'!$M$9,2),B214&lt;'112'!$N$8,$M214='112'!$I$6)),"x",""))</f>
        <v/>
      </c>
      <c r="U214" s="50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0" t="str">
        <f>IF(OR(TH!L214=TH!$V$7,M214=TH!$V$7),"x","")</f>
        <v/>
      </c>
      <c r="W214" s="50" t="str">
        <f>IF(AND(B214&gt;='IN-NX'!$P$3,B214&lt;='IN-NX'!$Q$3,'IN-NX'!$D$7=D214,OR(LEFT(L214,2)="15",AND(LEFT(M214,2)&lt;&gt;"15",LEFT(M214,2)&lt;&gt;"33"))),"x","")</f>
        <v/>
      </c>
      <c r="X214" s="50" t="str">
        <f>IF(AND(OR(LEFT(TH!L214,2)="15",LEFT(TH!M214,2)="15"),'152-CT'!$J$8=TH!F214),"x","")</f>
        <v/>
      </c>
      <c r="Y214" s="50" t="str">
        <f>IF(AND(OR(LEFT(TH!L214,2)="15",LEFT(TH!M214,2)="15"),TK!$E$7=TH!F214),"x","")</f>
        <v/>
      </c>
      <c r="Z214" s="50" t="str">
        <f>IF(AND(B214&lt;=NKC!$N$8,B214&gt;=NKC!$M$8),"x","")</f>
        <v/>
      </c>
      <c r="AA214" s="845"/>
      <c r="AB214" s="581"/>
    </row>
    <row r="215" spans="1:30" s="201" customFormat="1" ht="15.75" customHeight="1">
      <c r="A215" s="846" t="str">
        <f>IF(B215&lt;&gt;"",IF(AND(B215&gt;=_TM1,B215&lt;=_TM2,OR(TH!L215="1111",TH!M215="1111")),TH!D215,""),"")</f>
        <v/>
      </c>
      <c r="B215" s="36" t="str">
        <f t="shared" si="6"/>
        <v/>
      </c>
      <c r="C215" s="187"/>
      <c r="D215" s="187"/>
      <c r="E215" s="187"/>
      <c r="F215" s="188"/>
      <c r="G215" s="854"/>
      <c r="H215" s="189"/>
      <c r="I215" s="249"/>
      <c r="J215" s="249"/>
      <c r="K215" s="589"/>
      <c r="L215" s="590"/>
      <c r="M215" s="590"/>
      <c r="N215" s="50" t="str">
        <f>IF(AND('331-CT'!$E$7=TH!H215,OR(L215="331",M215="331")),"331",IF(AND(OR(L215="131",M215="131"),H215='131-CT'!$E$7),"131",""))</f>
        <v/>
      </c>
      <c r="O215" s="50" t="str">
        <f>IF(AND($B215&gt;='111'!$N$11,$B215&lt;='111'!$O$11,OR($L215=$O$7,$M215=$O$7)),"x","")</f>
        <v/>
      </c>
      <c r="P215" s="50" t="str">
        <f>IF(AND($L215=$O$7,$B215&lt;'111'!$N$11),"x","")</f>
        <v/>
      </c>
      <c r="Q215" s="50" t="str">
        <f>IF(AND($M215=$O$7,$B215&lt;'111'!$N$11),"x","")</f>
        <v/>
      </c>
      <c r="R215" s="50" t="str">
        <f>IF(ISERROR(FIND('112'!$M$9,G215,1)),"",IF((AND(FIND('112'!$M$9,G215,1)&gt;=1,$B215&gt;='112'!$N$8,$B215&lt;='112'!$O$8,OR($L215='112'!$I$6,$M215='112'!$I$6))),"x",""))</f>
        <v/>
      </c>
      <c r="S215" s="50" t="str">
        <f>IF(ISERROR(FIND('112'!$M$9,G215,1)),"",IF((AND(LEFT(G215,2)=LEFT('112'!$M$9,2),B215&lt;'112'!$N$8,$L215='112'!$I$6)),"x",""))</f>
        <v/>
      </c>
      <c r="T215" s="50" t="str">
        <f>IF(ISERROR(FIND('112'!$M$9,G215,1)),"",IF((AND(RIGHT(G215,2)=RIGHT('112'!$M$9,2),B215&lt;'112'!$N$8,$M215='112'!$I$6)),"x",""))</f>
        <v/>
      </c>
      <c r="U215" s="50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0" t="str">
        <f>IF(OR(TH!L215=TH!$V$7,M215=TH!$V$7),"x","")</f>
        <v/>
      </c>
      <c r="W215" s="50" t="str">
        <f>IF(AND(B215&gt;='IN-NX'!$P$3,B215&lt;='IN-NX'!$Q$3,'IN-NX'!$D$7=D215,OR(LEFT(L215,2)="15",AND(LEFT(M215,2)&lt;&gt;"15",LEFT(M215,2)&lt;&gt;"33"))),"x","")</f>
        <v/>
      </c>
      <c r="X215" s="50" t="str">
        <f>IF(AND(OR(LEFT(TH!L215,2)="15",LEFT(TH!M215,2)="15"),'152-CT'!$J$8=TH!F215),"x","")</f>
        <v/>
      </c>
      <c r="Y215" s="50" t="str">
        <f>IF(AND(OR(LEFT(TH!L215,2)="15",LEFT(TH!M215,2)="15"),TK!$E$7=TH!F215),"x","")</f>
        <v/>
      </c>
      <c r="Z215" s="50" t="str">
        <f>IF(AND(B215&lt;=NKC!$N$8,B215&gt;=NKC!$M$8),"x","")</f>
        <v/>
      </c>
      <c r="AA215" s="845"/>
      <c r="AB215" s="581"/>
    </row>
    <row r="216" spans="1:30" s="201" customFormat="1" ht="15.75" customHeight="1">
      <c r="A216" s="846" t="str">
        <f>IF(B216&lt;&gt;"",IF(AND(B216&gt;=_TM1,B216&lt;=_TM2,OR(TH!L216="1111",TH!M216="1111")),TH!D216,""),"")</f>
        <v/>
      </c>
      <c r="B216" s="36" t="str">
        <f t="shared" si="6"/>
        <v/>
      </c>
      <c r="C216" s="187"/>
      <c r="D216" s="187"/>
      <c r="E216" s="187"/>
      <c r="F216" s="188"/>
      <c r="G216" s="854"/>
      <c r="H216" s="189"/>
      <c r="I216" s="249"/>
      <c r="J216" s="249"/>
      <c r="K216" s="589"/>
      <c r="L216" s="590"/>
      <c r="M216" s="590"/>
      <c r="N216" s="50" t="str">
        <f>IF(AND('331-CT'!$E$7=TH!H216,OR(L216="331",M216="331")),"331",IF(AND(OR(L216="131",M216="131"),H216='131-CT'!$E$7),"131",""))</f>
        <v/>
      </c>
      <c r="O216" s="50" t="str">
        <f>IF(AND($B216&gt;='111'!$N$11,$B216&lt;='111'!$O$11,OR($L216=$O$7,$M216=$O$7)),"x","")</f>
        <v/>
      </c>
      <c r="P216" s="50" t="str">
        <f>IF(AND($L216=$O$7,$B216&lt;'111'!$N$11),"x","")</f>
        <v/>
      </c>
      <c r="Q216" s="50" t="str">
        <f>IF(AND($M216=$O$7,$B216&lt;'111'!$N$11),"x","")</f>
        <v/>
      </c>
      <c r="R216" s="50" t="str">
        <f>IF(ISERROR(FIND('112'!$M$9,G216,1)),"",IF((AND(FIND('112'!$M$9,G216,1)&gt;=1,$B216&gt;='112'!$N$8,$B216&lt;='112'!$O$8,OR($L216='112'!$I$6,$M216='112'!$I$6))),"x",""))</f>
        <v/>
      </c>
      <c r="S216" s="50" t="str">
        <f>IF(ISERROR(FIND('112'!$M$9,G216,1)),"",IF((AND(LEFT(G216,2)=LEFT('112'!$M$9,2),B216&lt;'112'!$N$8,$L216='112'!$I$6)),"x",""))</f>
        <v/>
      </c>
      <c r="T216" s="50" t="str">
        <f>IF(ISERROR(FIND('112'!$M$9,G216,1)),"",IF((AND(RIGHT(G216,2)=RIGHT('112'!$M$9,2),B216&lt;'112'!$N$8,$M216='112'!$I$6)),"x",""))</f>
        <v/>
      </c>
      <c r="U216" s="50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0" t="str">
        <f>IF(OR(TH!L216=TH!$V$7,M216=TH!$V$7),"x","")</f>
        <v/>
      </c>
      <c r="W216" s="50" t="str">
        <f>IF(AND(B216&gt;='IN-NX'!$P$3,B216&lt;='IN-NX'!$Q$3,'IN-NX'!$D$7=D216,OR(LEFT(L216,2)="15",AND(LEFT(M216,2)&lt;&gt;"15",LEFT(M216,2)&lt;&gt;"33"))),"x","")</f>
        <v/>
      </c>
      <c r="X216" s="50" t="str">
        <f>IF(AND(OR(LEFT(TH!L216,2)="15",LEFT(TH!M216,2)="15"),'152-CT'!$J$8=TH!F216),"x","")</f>
        <v/>
      </c>
      <c r="Y216" s="50" t="str">
        <f>IF(AND(OR(LEFT(TH!L216,2)="15",LEFT(TH!M216,2)="15"),TK!$E$7=TH!F216),"x","")</f>
        <v/>
      </c>
      <c r="Z216" s="50" t="str">
        <f>IF(AND(B216&lt;=NKC!$N$8,B216&gt;=NKC!$M$8),"x","")</f>
        <v/>
      </c>
      <c r="AA216" s="845"/>
      <c r="AB216" s="581"/>
    </row>
    <row r="217" spans="1:30" s="201" customFormat="1" ht="15.75" customHeight="1">
      <c r="A217" s="846" t="str">
        <f>IF(B217&lt;&gt;"",IF(AND(B217&gt;=_TM1,B217&lt;=_TM2,OR(TH!L217="1111",TH!M217="1111")),TH!D217,""),"")</f>
        <v/>
      </c>
      <c r="B217" s="36" t="str">
        <f t="shared" si="6"/>
        <v/>
      </c>
      <c r="C217" s="187"/>
      <c r="D217" s="187"/>
      <c r="E217" s="187"/>
      <c r="F217" s="188"/>
      <c r="G217" s="854"/>
      <c r="H217" s="189"/>
      <c r="I217" s="249"/>
      <c r="J217" s="249"/>
      <c r="K217" s="589"/>
      <c r="L217" s="590"/>
      <c r="M217" s="590"/>
      <c r="N217" s="50" t="str">
        <f>IF(AND('331-CT'!$E$7=TH!H217,OR(L217="331",M217="331")),"331",IF(AND(OR(L217="131",M217="131"),H217='131-CT'!$E$7),"131",""))</f>
        <v/>
      </c>
      <c r="O217" s="50" t="str">
        <f>IF(AND($B217&gt;='111'!$N$11,$B217&lt;='111'!$O$11,OR($L217=$O$7,$M217=$O$7)),"x","")</f>
        <v/>
      </c>
      <c r="P217" s="50" t="str">
        <f>IF(AND($L217=$O$7,$B217&lt;'111'!$N$11),"x","")</f>
        <v/>
      </c>
      <c r="Q217" s="50" t="str">
        <f>IF(AND($M217=$O$7,$B217&lt;'111'!$N$11),"x","")</f>
        <v/>
      </c>
      <c r="R217" s="50" t="str">
        <f>IF(ISERROR(FIND('112'!$M$9,G217,1)),"",IF((AND(FIND('112'!$M$9,G217,1)&gt;=1,$B217&gt;='112'!$N$8,$B217&lt;='112'!$O$8,OR($L217='112'!$I$6,$M217='112'!$I$6))),"x",""))</f>
        <v/>
      </c>
      <c r="S217" s="50" t="str">
        <f>IF(ISERROR(FIND('112'!$M$9,G217,1)),"",IF((AND(LEFT(G217,2)=LEFT('112'!$M$9,2),B217&lt;'112'!$N$8,$L217='112'!$I$6)),"x",""))</f>
        <v/>
      </c>
      <c r="T217" s="50" t="str">
        <f>IF(ISERROR(FIND('112'!$M$9,G217,1)),"",IF((AND(RIGHT(G217,2)=RIGHT('112'!$M$9,2),B217&lt;'112'!$N$8,$M217='112'!$I$6)),"x",""))</f>
        <v/>
      </c>
      <c r="U217" s="50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0" t="str">
        <f>IF(OR(TH!L217=TH!$V$7,M217=TH!$V$7),"x","")</f>
        <v/>
      </c>
      <c r="W217" s="50" t="str">
        <f>IF(AND(B217&gt;='IN-NX'!$P$3,B217&lt;='IN-NX'!$Q$3,'IN-NX'!$D$7=D217,OR(LEFT(L217,2)="15",AND(LEFT(M217,2)&lt;&gt;"15",LEFT(M217,2)&lt;&gt;"33"))),"x","")</f>
        <v/>
      </c>
      <c r="X217" s="50" t="str">
        <f>IF(AND(OR(LEFT(TH!L217,2)="15",LEFT(TH!M217,2)="15"),'152-CT'!$J$8=TH!F217),"x","")</f>
        <v/>
      </c>
      <c r="Y217" s="50" t="str">
        <f>IF(AND(OR(LEFT(TH!L217,2)="15",LEFT(TH!M217,2)="15"),TK!$E$7=TH!F217),"x","")</f>
        <v/>
      </c>
      <c r="Z217" s="50" t="str">
        <f>IF(AND(B217&lt;=NKC!$N$8,B217&gt;=NKC!$M$8),"x","")</f>
        <v/>
      </c>
      <c r="AA217" s="845"/>
      <c r="AB217" s="581"/>
    </row>
    <row r="218" spans="1:30" s="201" customFormat="1" ht="15.75" customHeight="1">
      <c r="A218" s="846" t="str">
        <f>IF(B218&lt;&gt;"",IF(AND(B218&gt;=_TM1,B218&lt;=_TM2,OR(TH!L218="1111",TH!M218="1111")),TH!D218,""),"")</f>
        <v/>
      </c>
      <c r="B218" s="36" t="str">
        <f t="shared" si="6"/>
        <v/>
      </c>
      <c r="C218" s="187"/>
      <c r="D218" s="187"/>
      <c r="E218" s="187"/>
      <c r="F218" s="188"/>
      <c r="G218" s="854"/>
      <c r="H218" s="189"/>
      <c r="I218" s="249"/>
      <c r="J218" s="249"/>
      <c r="K218" s="589"/>
      <c r="L218" s="590"/>
      <c r="M218" s="590"/>
      <c r="N218" s="50" t="str">
        <f>IF(AND('331-CT'!$E$7=TH!H218,OR(L218="331",M218="331")),"331",IF(AND(OR(L218="131",M218="131"),H218='131-CT'!$E$7),"131",""))</f>
        <v/>
      </c>
      <c r="O218" s="50" t="str">
        <f>IF(AND($B218&gt;='111'!$N$11,$B218&lt;='111'!$O$11,OR($L218=$O$7,$M218=$O$7)),"x","")</f>
        <v/>
      </c>
      <c r="P218" s="50" t="str">
        <f>IF(AND($L218=$O$7,$B218&lt;'111'!$N$11),"x","")</f>
        <v/>
      </c>
      <c r="Q218" s="50" t="str">
        <f>IF(AND($M218=$O$7,$B218&lt;'111'!$N$11),"x","")</f>
        <v/>
      </c>
      <c r="R218" s="50" t="str">
        <f>IF(ISERROR(FIND('112'!$M$9,G218,1)),"",IF((AND(FIND('112'!$M$9,G218,1)&gt;=1,$B218&gt;='112'!$N$8,$B218&lt;='112'!$O$8,OR($L218='112'!$I$6,$M218='112'!$I$6))),"x",""))</f>
        <v/>
      </c>
      <c r="S218" s="50" t="str">
        <f>IF(ISERROR(FIND('112'!$M$9,G218,1)),"",IF((AND(LEFT(G218,2)=LEFT('112'!$M$9,2),B218&lt;'112'!$N$8,$L218='112'!$I$6)),"x",""))</f>
        <v/>
      </c>
      <c r="T218" s="50" t="str">
        <f>IF(ISERROR(FIND('112'!$M$9,G218,1)),"",IF((AND(RIGHT(G218,2)=RIGHT('112'!$M$9,2),B218&lt;'112'!$N$8,$M218='112'!$I$6)),"x",""))</f>
        <v/>
      </c>
      <c r="U218" s="50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0" t="str">
        <f>IF(OR(TH!L218=TH!$V$7,M218=TH!$V$7),"x","")</f>
        <v/>
      </c>
      <c r="W218" s="50" t="str">
        <f>IF(AND(B218&gt;='IN-NX'!$P$3,B218&lt;='IN-NX'!$Q$3,'IN-NX'!$D$7=D218,OR(LEFT(L218,2)="15",AND(LEFT(M218,2)&lt;&gt;"15",LEFT(M218,2)&lt;&gt;"33"))),"x","")</f>
        <v/>
      </c>
      <c r="X218" s="50" t="str">
        <f>IF(AND(OR(LEFT(TH!L218,2)="15",LEFT(TH!M218,2)="15"),'152-CT'!$J$8=TH!F218),"x","")</f>
        <v/>
      </c>
      <c r="Y218" s="50" t="str">
        <f>IF(AND(OR(LEFT(TH!L218,2)="15",LEFT(TH!M218,2)="15"),TK!$E$7=TH!F218),"x","")</f>
        <v/>
      </c>
      <c r="Z218" s="50" t="str">
        <f>IF(AND(B218&lt;=NKC!$N$8,B218&gt;=NKC!$M$8),"x","")</f>
        <v/>
      </c>
      <c r="AA218" s="845"/>
      <c r="AB218" s="581"/>
      <c r="AC218" s="581"/>
      <c r="AD218" s="581"/>
    </row>
    <row r="219" spans="1:30" s="201" customFormat="1" ht="15.75" customHeight="1">
      <c r="A219" s="846" t="str">
        <f>IF(B219&lt;&gt;"",IF(AND(B219&gt;=_TM1,B219&lt;=_TM2,OR(TH!L219="1111",TH!M219="1111")),TH!D219,""),"")</f>
        <v/>
      </c>
      <c r="B219" s="36" t="str">
        <f t="shared" si="6"/>
        <v/>
      </c>
      <c r="C219" s="187"/>
      <c r="D219" s="187"/>
      <c r="E219" s="187"/>
      <c r="F219" s="188"/>
      <c r="G219" s="854"/>
      <c r="H219" s="189"/>
      <c r="I219" s="249"/>
      <c r="J219" s="249"/>
      <c r="K219" s="589"/>
      <c r="L219" s="590"/>
      <c r="M219" s="590"/>
      <c r="N219" s="50" t="str">
        <f>IF(AND('331-CT'!$E$7=TH!H219,OR(L219="331",M219="331")),"331",IF(AND(OR(L219="131",M219="131"),H219='131-CT'!$E$7),"131",""))</f>
        <v/>
      </c>
      <c r="O219" s="50" t="str">
        <f>IF(AND($B219&gt;='111'!$N$11,$B219&lt;='111'!$O$11,OR($L219=$O$7,$M219=$O$7)),"x","")</f>
        <v/>
      </c>
      <c r="P219" s="50" t="str">
        <f>IF(AND($L219=$O$7,$B219&lt;'111'!$N$11),"x","")</f>
        <v/>
      </c>
      <c r="Q219" s="50" t="str">
        <f>IF(AND($M219=$O$7,$B219&lt;'111'!$N$11),"x","")</f>
        <v/>
      </c>
      <c r="R219" s="50" t="str">
        <f>IF(ISERROR(FIND('112'!$M$9,G219,1)),"",IF((AND(FIND('112'!$M$9,G219,1)&gt;=1,$B219&gt;='112'!$N$8,$B219&lt;='112'!$O$8,OR($L219='112'!$I$6,$M219='112'!$I$6))),"x",""))</f>
        <v/>
      </c>
      <c r="S219" s="50" t="str">
        <f>IF(ISERROR(FIND('112'!$M$9,G219,1)),"",IF((AND(LEFT(G219,2)=LEFT('112'!$M$9,2),B219&lt;'112'!$N$8,$L219='112'!$I$6)),"x",""))</f>
        <v/>
      </c>
      <c r="T219" s="50" t="str">
        <f>IF(ISERROR(FIND('112'!$M$9,G219,1)),"",IF((AND(RIGHT(G219,2)=RIGHT('112'!$M$9,2),B219&lt;'112'!$N$8,$M219='112'!$I$6)),"x",""))</f>
        <v/>
      </c>
      <c r="U219" s="50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0" t="str">
        <f>IF(OR(TH!L219=TH!$V$7,M219=TH!$V$7),"x","")</f>
        <v/>
      </c>
      <c r="W219" s="50" t="str">
        <f>IF(AND(B219&gt;='IN-NX'!$P$3,B219&lt;='IN-NX'!$Q$3,'IN-NX'!$D$7=D219,OR(LEFT(L219,2)="15",AND(LEFT(M219,2)&lt;&gt;"15",LEFT(M219,2)&lt;&gt;"33"))),"x","")</f>
        <v/>
      </c>
      <c r="X219" s="50" t="str">
        <f>IF(AND(OR(LEFT(TH!L219,2)="15",LEFT(TH!M219,2)="15"),'152-CT'!$J$8=TH!F219),"x","")</f>
        <v/>
      </c>
      <c r="Y219" s="50" t="str">
        <f>IF(AND(OR(LEFT(TH!L219,2)="15",LEFT(TH!M219,2)="15"),TK!$E$7=TH!F219),"x","")</f>
        <v/>
      </c>
      <c r="Z219" s="50" t="str">
        <f>IF(AND(B219&lt;=NKC!$N$8,B219&gt;=NKC!$M$8),"x","")</f>
        <v/>
      </c>
      <c r="AA219" s="845"/>
      <c r="AB219" s="581"/>
      <c r="AC219" s="581"/>
      <c r="AD219" s="581"/>
    </row>
    <row r="220" spans="1:30" s="201" customFormat="1" ht="15.75" customHeight="1">
      <c r="A220" s="846" t="str">
        <f>IF(B220&lt;&gt;"",IF(AND(B220&gt;=_TM1,B220&lt;=_TM2,OR(TH!L220="1111",TH!M220="1111")),TH!D220,""),"")</f>
        <v/>
      </c>
      <c r="B220" s="36" t="str">
        <f t="shared" si="6"/>
        <v/>
      </c>
      <c r="C220" s="187"/>
      <c r="D220" s="187"/>
      <c r="E220" s="187"/>
      <c r="F220" s="188"/>
      <c r="G220" s="854"/>
      <c r="H220" s="189"/>
      <c r="I220" s="249"/>
      <c r="J220" s="249"/>
      <c r="K220" s="589"/>
      <c r="L220" s="590"/>
      <c r="M220" s="590"/>
      <c r="N220" s="50" t="str">
        <f>IF(AND('331-CT'!$E$7=TH!H220,OR(L220="331",M220="331")),"331",IF(AND(OR(L220="131",M220="131"),H220='131-CT'!$E$7),"131",""))</f>
        <v/>
      </c>
      <c r="O220" s="50" t="str">
        <f>IF(AND($B220&gt;='111'!$N$11,$B220&lt;='111'!$O$11,OR($L220=$O$7,$M220=$O$7)),"x","")</f>
        <v/>
      </c>
      <c r="P220" s="50" t="str">
        <f>IF(AND($L220=$O$7,$B220&lt;'111'!$N$11),"x","")</f>
        <v/>
      </c>
      <c r="Q220" s="50" t="str">
        <f>IF(AND($M220=$O$7,$B220&lt;'111'!$N$11),"x","")</f>
        <v/>
      </c>
      <c r="R220" s="50" t="str">
        <f>IF(ISERROR(FIND('112'!$M$9,G220,1)),"",IF((AND(FIND('112'!$M$9,G220,1)&gt;=1,$B220&gt;='112'!$N$8,$B220&lt;='112'!$O$8,OR($L220='112'!$I$6,$M220='112'!$I$6))),"x",""))</f>
        <v/>
      </c>
      <c r="S220" s="50" t="str">
        <f>IF(ISERROR(FIND('112'!$M$9,G220,1)),"",IF((AND(LEFT(G220,2)=LEFT('112'!$M$9,2),B220&lt;'112'!$N$8,$L220='112'!$I$6)),"x",""))</f>
        <v/>
      </c>
      <c r="T220" s="50" t="str">
        <f>IF(ISERROR(FIND('112'!$M$9,G220,1)),"",IF((AND(RIGHT(G220,2)=RIGHT('112'!$M$9,2),B220&lt;'112'!$N$8,$M220='112'!$I$6)),"x",""))</f>
        <v/>
      </c>
      <c r="U220" s="50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0" t="str">
        <f>IF(OR(TH!L220=TH!$V$7,M220=TH!$V$7),"x","")</f>
        <v/>
      </c>
      <c r="W220" s="50" t="str">
        <f>IF(AND(B220&gt;='IN-NX'!$P$3,B220&lt;='IN-NX'!$Q$3,'IN-NX'!$D$7=D220,OR(LEFT(L220,2)="15",AND(LEFT(M220,2)&lt;&gt;"15",LEFT(M220,2)&lt;&gt;"33"))),"x","")</f>
        <v/>
      </c>
      <c r="X220" s="50" t="str">
        <f>IF(AND(OR(LEFT(TH!L220,2)="15",LEFT(TH!M220,2)="15"),'152-CT'!$J$8=TH!F220),"x","")</f>
        <v/>
      </c>
      <c r="Y220" s="50" t="str">
        <f>IF(AND(OR(LEFT(TH!L220,2)="15",LEFT(TH!M220,2)="15"),TK!$E$7=TH!F220),"x","")</f>
        <v/>
      </c>
      <c r="Z220" s="50" t="str">
        <f>IF(AND(B220&lt;=NKC!$N$8,B220&gt;=NKC!$M$8),"x","")</f>
        <v/>
      </c>
      <c r="AA220" s="845"/>
      <c r="AB220" s="581"/>
    </row>
    <row r="221" spans="1:30" s="201" customFormat="1" ht="15.75" customHeight="1">
      <c r="A221" s="846" t="str">
        <f>IF(B221&lt;&gt;"",IF(AND(B221&gt;=_TM1,B221&lt;=_TM2,OR(TH!L221="1111",TH!M221="1111")),TH!D221,""),"")</f>
        <v/>
      </c>
      <c r="B221" s="36" t="str">
        <f t="shared" si="6"/>
        <v/>
      </c>
      <c r="C221" s="187"/>
      <c r="D221" s="187"/>
      <c r="E221" s="187"/>
      <c r="F221" s="188"/>
      <c r="G221" s="854"/>
      <c r="H221" s="189"/>
      <c r="I221" s="249"/>
      <c r="J221" s="249"/>
      <c r="K221" s="589"/>
      <c r="L221" s="590"/>
      <c r="M221" s="590"/>
      <c r="N221" s="50" t="str">
        <f>IF(AND('331-CT'!$E$7=TH!H221,OR(L221="331",M221="331")),"331",IF(AND(OR(L221="131",M221="131"),H221='131-CT'!$E$7),"131",""))</f>
        <v/>
      </c>
      <c r="O221" s="50" t="str">
        <f>IF(AND($B221&gt;='111'!$N$11,$B221&lt;='111'!$O$11,OR($L221=$O$7,$M221=$O$7)),"x","")</f>
        <v/>
      </c>
      <c r="P221" s="50" t="str">
        <f>IF(AND($L221=$O$7,$B221&lt;'111'!$N$11),"x","")</f>
        <v/>
      </c>
      <c r="Q221" s="50" t="str">
        <f>IF(AND($M221=$O$7,$B221&lt;'111'!$N$11),"x","")</f>
        <v/>
      </c>
      <c r="R221" s="50" t="str">
        <f>IF(ISERROR(FIND('112'!$M$9,G221,1)),"",IF((AND(FIND('112'!$M$9,G221,1)&gt;=1,$B221&gt;='112'!$N$8,$B221&lt;='112'!$O$8,OR($L221='112'!$I$6,$M221='112'!$I$6))),"x",""))</f>
        <v/>
      </c>
      <c r="S221" s="50" t="str">
        <f>IF(ISERROR(FIND('112'!$M$9,G221,1)),"",IF((AND(LEFT(G221,2)=LEFT('112'!$M$9,2),B221&lt;'112'!$N$8,$L221='112'!$I$6)),"x",""))</f>
        <v/>
      </c>
      <c r="T221" s="50" t="str">
        <f>IF(ISERROR(FIND('112'!$M$9,G221,1)),"",IF((AND(RIGHT(G221,2)=RIGHT('112'!$M$9,2),B221&lt;'112'!$N$8,$M221='112'!$I$6)),"x",""))</f>
        <v/>
      </c>
      <c r="U221" s="50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0" t="str">
        <f>IF(OR(TH!L221=TH!$V$7,M221=TH!$V$7),"x","")</f>
        <v/>
      </c>
      <c r="W221" s="50" t="str">
        <f>IF(AND(B221&gt;='IN-NX'!$P$3,B221&lt;='IN-NX'!$Q$3,'IN-NX'!$D$7=D221,OR(LEFT(L221,2)="15",AND(LEFT(M221,2)&lt;&gt;"15",LEFT(M221,2)&lt;&gt;"33"))),"x","")</f>
        <v/>
      </c>
      <c r="X221" s="50" t="str">
        <f>IF(AND(OR(LEFT(TH!L221,2)="15",LEFT(TH!M221,2)="15"),'152-CT'!$J$8=TH!F221),"x","")</f>
        <v/>
      </c>
      <c r="Y221" s="50" t="str">
        <f>IF(AND(OR(LEFT(TH!L221,2)="15",LEFT(TH!M221,2)="15"),TK!$E$7=TH!F221),"x","")</f>
        <v/>
      </c>
      <c r="Z221" s="50" t="str">
        <f>IF(AND(B221&lt;=NKC!$N$8,B221&gt;=NKC!$M$8),"x","")</f>
        <v/>
      </c>
      <c r="AA221" s="845"/>
      <c r="AB221" s="581"/>
    </row>
    <row r="222" spans="1:30" s="201" customFormat="1" ht="15.75" customHeight="1">
      <c r="A222" s="846" t="str">
        <f>IF(B222&lt;&gt;"",IF(AND(B222&gt;=_TM1,B222&lt;=_TM2,OR(TH!L222="1111",TH!M222="1111")),TH!D222,""),"")</f>
        <v/>
      </c>
      <c r="B222" s="36" t="str">
        <f t="shared" si="6"/>
        <v/>
      </c>
      <c r="C222" s="187"/>
      <c r="D222" s="187"/>
      <c r="E222" s="187"/>
      <c r="F222" s="188"/>
      <c r="G222" s="854"/>
      <c r="H222" s="189"/>
      <c r="I222" s="249"/>
      <c r="J222" s="249"/>
      <c r="K222" s="589"/>
      <c r="L222" s="590"/>
      <c r="M222" s="590"/>
      <c r="N222" s="50" t="str">
        <f>IF(AND('331-CT'!$E$7=TH!H222,OR(L222="331",M222="331")),"331",IF(AND(OR(L222="131",M222="131"),H222='131-CT'!$E$7),"131",""))</f>
        <v/>
      </c>
      <c r="O222" s="50" t="str">
        <f>IF(AND($B222&gt;='111'!$N$11,$B222&lt;='111'!$O$11,OR($L222=$O$7,$M222=$O$7)),"x","")</f>
        <v/>
      </c>
      <c r="P222" s="50" t="str">
        <f>IF(AND($L222=$O$7,$B222&lt;'111'!$N$11),"x","")</f>
        <v/>
      </c>
      <c r="Q222" s="50" t="str">
        <f>IF(AND($M222=$O$7,$B222&lt;'111'!$N$11),"x","")</f>
        <v/>
      </c>
      <c r="R222" s="50" t="str">
        <f>IF(ISERROR(FIND('112'!$M$9,G222,1)),"",IF((AND(FIND('112'!$M$9,G222,1)&gt;=1,$B222&gt;='112'!$N$8,$B222&lt;='112'!$O$8,OR($L222='112'!$I$6,$M222='112'!$I$6))),"x",""))</f>
        <v/>
      </c>
      <c r="S222" s="50" t="str">
        <f>IF(ISERROR(FIND('112'!$M$9,G222,1)),"",IF((AND(LEFT(G222,2)=LEFT('112'!$M$9,2),B222&lt;'112'!$N$8,$L222='112'!$I$6)),"x",""))</f>
        <v/>
      </c>
      <c r="T222" s="50" t="str">
        <f>IF(ISERROR(FIND('112'!$M$9,G222,1)),"",IF((AND(RIGHT(G222,2)=RIGHT('112'!$M$9,2),B222&lt;'112'!$N$8,$M222='112'!$I$6)),"x",""))</f>
        <v/>
      </c>
      <c r="U222" s="50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0" t="str">
        <f>IF(OR(TH!L222=TH!$V$7,M222=TH!$V$7),"x","")</f>
        <v/>
      </c>
      <c r="W222" s="50" t="str">
        <f>IF(AND(B222&gt;='IN-NX'!$P$3,B222&lt;='IN-NX'!$Q$3,'IN-NX'!$D$7=D222,OR(LEFT(L222,2)="15",AND(LEFT(M222,2)&lt;&gt;"15",LEFT(M222,2)&lt;&gt;"33"))),"x","")</f>
        <v/>
      </c>
      <c r="X222" s="50" t="str">
        <f>IF(AND(OR(LEFT(TH!L222,2)="15",LEFT(TH!M222,2)="15"),'152-CT'!$J$8=TH!F222),"x","")</f>
        <v/>
      </c>
      <c r="Y222" s="50" t="str">
        <f>IF(AND(OR(LEFT(TH!L222,2)="15",LEFT(TH!M222,2)="15"),TK!$E$7=TH!F222),"x","")</f>
        <v/>
      </c>
      <c r="Z222" s="50" t="str">
        <f>IF(AND(B222&lt;=NKC!$N$8,B222&gt;=NKC!$M$8),"x","")</f>
        <v/>
      </c>
      <c r="AA222" s="845"/>
      <c r="AB222" s="581"/>
    </row>
    <row r="223" spans="1:30" s="201" customFormat="1" ht="15.75" customHeight="1">
      <c r="A223" s="846" t="str">
        <f>IF(B223&lt;&gt;"",IF(AND(B223&gt;=_TM1,B223&lt;=_TM2,OR(TH!L223="1111",TH!M223="1111")),TH!D223,""),"")</f>
        <v/>
      </c>
      <c r="B223" s="36" t="str">
        <f t="shared" si="6"/>
        <v/>
      </c>
      <c r="C223" s="187"/>
      <c r="D223" s="187"/>
      <c r="E223" s="187"/>
      <c r="F223" s="188"/>
      <c r="G223" s="854"/>
      <c r="H223" s="189"/>
      <c r="I223" s="249"/>
      <c r="J223" s="249"/>
      <c r="K223" s="589"/>
      <c r="L223" s="590"/>
      <c r="M223" s="590"/>
      <c r="N223" s="50" t="str">
        <f>IF(AND('331-CT'!$E$7=TH!H223,OR(L223="331",M223="331")),"331",IF(AND(OR(L223="131",M223="131"),H223='131-CT'!$E$7),"131",""))</f>
        <v/>
      </c>
      <c r="O223" s="50" t="str">
        <f>IF(AND($B223&gt;='111'!$N$11,$B223&lt;='111'!$O$11,OR($L223=$O$7,$M223=$O$7)),"x","")</f>
        <v/>
      </c>
      <c r="P223" s="50" t="str">
        <f>IF(AND($L223=$O$7,$B223&lt;'111'!$N$11),"x","")</f>
        <v/>
      </c>
      <c r="Q223" s="50" t="str">
        <f>IF(AND($M223=$O$7,$B223&lt;'111'!$N$11),"x","")</f>
        <v/>
      </c>
      <c r="R223" s="50" t="str">
        <f>IF(ISERROR(FIND('112'!$M$9,G223,1)),"",IF((AND(FIND('112'!$M$9,G223,1)&gt;=1,$B223&gt;='112'!$N$8,$B223&lt;='112'!$O$8,OR($L223='112'!$I$6,$M223='112'!$I$6))),"x",""))</f>
        <v/>
      </c>
      <c r="S223" s="50" t="str">
        <f>IF(ISERROR(FIND('112'!$M$9,G223,1)),"",IF((AND(LEFT(G223,2)=LEFT('112'!$M$9,2),B223&lt;'112'!$N$8,$L223='112'!$I$6)),"x",""))</f>
        <v/>
      </c>
      <c r="T223" s="50" t="str">
        <f>IF(ISERROR(FIND('112'!$M$9,G223,1)),"",IF((AND(RIGHT(G223,2)=RIGHT('112'!$M$9,2),B223&lt;'112'!$N$8,$M223='112'!$I$6)),"x",""))</f>
        <v/>
      </c>
      <c r="U223" s="50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0" t="str">
        <f>IF(OR(TH!L223=TH!$V$7,M223=TH!$V$7),"x","")</f>
        <v/>
      </c>
      <c r="W223" s="50" t="str">
        <f>IF(AND(B223&gt;='IN-NX'!$P$3,B223&lt;='IN-NX'!$Q$3,'IN-NX'!$D$7=D223,OR(LEFT(L223,2)="15",AND(LEFT(M223,2)&lt;&gt;"15",LEFT(M223,2)&lt;&gt;"33"))),"x","")</f>
        <v/>
      </c>
      <c r="X223" s="50" t="str">
        <f>IF(AND(OR(LEFT(TH!L223,2)="15",LEFT(TH!M223,2)="15"),'152-CT'!$J$8=TH!F223),"x","")</f>
        <v/>
      </c>
      <c r="Y223" s="50" t="str">
        <f>IF(AND(OR(LEFT(TH!L223,2)="15",LEFT(TH!M223,2)="15"),TK!$E$7=TH!F223),"x","")</f>
        <v/>
      </c>
      <c r="Z223" s="50" t="str">
        <f>IF(AND(B223&lt;=NKC!$N$8,B223&gt;=NKC!$M$8),"x","")</f>
        <v/>
      </c>
      <c r="AA223" s="845"/>
      <c r="AB223" s="581"/>
    </row>
    <row r="224" spans="1:30" s="201" customFormat="1" ht="15.75" customHeight="1">
      <c r="A224" s="846" t="str">
        <f>IF(B224&lt;&gt;"",IF(AND(B224&gt;=_TM1,B224&lt;=_TM2,OR(TH!L224="1111",TH!M224="1111")),TH!D224,""),"")</f>
        <v/>
      </c>
      <c r="B224" s="36" t="str">
        <f t="shared" si="6"/>
        <v/>
      </c>
      <c r="C224" s="187"/>
      <c r="D224" s="187"/>
      <c r="E224" s="187"/>
      <c r="F224" s="188"/>
      <c r="G224" s="854"/>
      <c r="H224" s="189"/>
      <c r="I224" s="249"/>
      <c r="J224" s="249"/>
      <c r="K224" s="589"/>
      <c r="L224" s="590"/>
      <c r="M224" s="590"/>
      <c r="N224" s="50" t="str">
        <f>IF(AND('331-CT'!$E$7=TH!H224,OR(L224="331",M224="331")),"331",IF(AND(OR(L224="131",M224="131"),H224='131-CT'!$E$7),"131",""))</f>
        <v/>
      </c>
      <c r="O224" s="50" t="str">
        <f>IF(AND($B224&gt;='111'!$N$11,$B224&lt;='111'!$O$11,OR($L224=$O$7,$M224=$O$7)),"x","")</f>
        <v/>
      </c>
      <c r="P224" s="50" t="str">
        <f>IF(AND($L224=$O$7,$B224&lt;'111'!$N$11),"x","")</f>
        <v/>
      </c>
      <c r="Q224" s="50" t="str">
        <f>IF(AND($M224=$O$7,$B224&lt;'111'!$N$11),"x","")</f>
        <v/>
      </c>
      <c r="R224" s="50" t="str">
        <f>IF(ISERROR(FIND('112'!$M$9,G224,1)),"",IF((AND(FIND('112'!$M$9,G224,1)&gt;=1,$B224&gt;='112'!$N$8,$B224&lt;='112'!$O$8,OR($L224='112'!$I$6,$M224='112'!$I$6))),"x",""))</f>
        <v/>
      </c>
      <c r="S224" s="50" t="str">
        <f>IF(ISERROR(FIND('112'!$M$9,G224,1)),"",IF((AND(LEFT(G224,2)=LEFT('112'!$M$9,2),B224&lt;'112'!$N$8,$L224='112'!$I$6)),"x",""))</f>
        <v/>
      </c>
      <c r="T224" s="50" t="str">
        <f>IF(ISERROR(FIND('112'!$M$9,G224,1)),"",IF((AND(RIGHT(G224,2)=RIGHT('112'!$M$9,2),B224&lt;'112'!$N$8,$M224='112'!$I$6)),"x",""))</f>
        <v/>
      </c>
      <c r="U224" s="50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0" t="str">
        <f>IF(OR(TH!L224=TH!$V$7,M224=TH!$V$7),"x","")</f>
        <v/>
      </c>
      <c r="W224" s="50" t="str">
        <f>IF(AND(B224&gt;='IN-NX'!$P$3,B224&lt;='IN-NX'!$Q$3,'IN-NX'!$D$7=D224,OR(LEFT(L224,2)="15",AND(LEFT(M224,2)&lt;&gt;"15",LEFT(M224,2)&lt;&gt;"33"))),"x","")</f>
        <v/>
      </c>
      <c r="X224" s="50" t="str">
        <f>IF(AND(OR(LEFT(TH!L224,2)="15",LEFT(TH!M224,2)="15"),'152-CT'!$J$8=TH!F224),"x","")</f>
        <v/>
      </c>
      <c r="Y224" s="50" t="str">
        <f>IF(AND(OR(LEFT(TH!L224,2)="15",LEFT(TH!M224,2)="15"),TK!$E$7=TH!F224),"x","")</f>
        <v/>
      </c>
      <c r="Z224" s="50" t="str">
        <f>IF(AND(B224&lt;=NKC!$N$8,B224&gt;=NKC!$M$8),"x","")</f>
        <v/>
      </c>
      <c r="AA224" s="845"/>
      <c r="AB224" s="581"/>
    </row>
    <row r="225" spans="1:30" s="201" customFormat="1" ht="15.75" customHeight="1">
      <c r="A225" s="846" t="str">
        <f>IF(B225&lt;&gt;"",IF(AND(B225&gt;=_TM1,B225&lt;=_TM2,OR(TH!L225="1111",TH!M225="1111")),TH!D225,""),"")</f>
        <v/>
      </c>
      <c r="B225" s="36" t="str">
        <f t="shared" si="6"/>
        <v/>
      </c>
      <c r="C225" s="187"/>
      <c r="D225" s="187"/>
      <c r="E225" s="187"/>
      <c r="F225" s="188"/>
      <c r="G225" s="854"/>
      <c r="H225" s="189"/>
      <c r="I225" s="249"/>
      <c r="J225" s="249"/>
      <c r="K225" s="589"/>
      <c r="L225" s="590"/>
      <c r="M225" s="590"/>
      <c r="N225" s="50" t="str">
        <f>IF(AND('331-CT'!$E$7=TH!H225,OR(L225="331",M225="331")),"331",IF(AND(OR(L225="131",M225="131"),H225='131-CT'!$E$7),"131",""))</f>
        <v/>
      </c>
      <c r="O225" s="50" t="str">
        <f>IF(AND($B225&gt;='111'!$N$11,$B225&lt;='111'!$O$11,OR($L225=$O$7,$M225=$O$7)),"x","")</f>
        <v/>
      </c>
      <c r="P225" s="50" t="str">
        <f>IF(AND($L225=$O$7,$B225&lt;'111'!$N$11),"x","")</f>
        <v/>
      </c>
      <c r="Q225" s="50" t="str">
        <f>IF(AND($M225=$O$7,$B225&lt;'111'!$N$11),"x","")</f>
        <v/>
      </c>
      <c r="R225" s="50" t="str">
        <f>IF(ISERROR(FIND('112'!$M$9,G225,1)),"",IF((AND(FIND('112'!$M$9,G225,1)&gt;=1,$B225&gt;='112'!$N$8,$B225&lt;='112'!$O$8,OR($L225='112'!$I$6,$M225='112'!$I$6))),"x",""))</f>
        <v/>
      </c>
      <c r="S225" s="50" t="str">
        <f>IF(ISERROR(FIND('112'!$M$9,G225,1)),"",IF((AND(LEFT(G225,2)=LEFT('112'!$M$9,2),B225&lt;'112'!$N$8,$L225='112'!$I$6)),"x",""))</f>
        <v/>
      </c>
      <c r="T225" s="50" t="str">
        <f>IF(ISERROR(FIND('112'!$M$9,G225,1)),"",IF((AND(RIGHT(G225,2)=RIGHT('112'!$M$9,2),B225&lt;'112'!$N$8,$M225='112'!$I$6)),"x",""))</f>
        <v/>
      </c>
      <c r="U225" s="50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0" t="str">
        <f>IF(OR(TH!L225=TH!$V$7,M225=TH!$V$7),"x","")</f>
        <v/>
      </c>
      <c r="W225" s="50" t="str">
        <f>IF(AND(B225&gt;='IN-NX'!$P$3,B225&lt;='IN-NX'!$Q$3,'IN-NX'!$D$7=D225,OR(LEFT(L225,2)="15",AND(LEFT(M225,2)&lt;&gt;"15",LEFT(M225,2)&lt;&gt;"33"))),"x","")</f>
        <v/>
      </c>
      <c r="X225" s="50" t="str">
        <f>IF(AND(OR(LEFT(TH!L225,2)="15",LEFT(TH!M225,2)="15"),'152-CT'!$J$8=TH!F225),"x","")</f>
        <v/>
      </c>
      <c r="Y225" s="50" t="str">
        <f>IF(AND(OR(LEFT(TH!L225,2)="15",LEFT(TH!M225,2)="15"),TK!$E$7=TH!F225),"x","")</f>
        <v/>
      </c>
      <c r="Z225" s="50" t="str">
        <f>IF(AND(B225&lt;=NKC!$N$8,B225&gt;=NKC!$M$8),"x","")</f>
        <v/>
      </c>
      <c r="AA225" s="845"/>
      <c r="AB225" s="581"/>
    </row>
    <row r="226" spans="1:30" s="201" customFormat="1" ht="15.75" customHeight="1">
      <c r="A226" s="846" t="str">
        <f>IF(B226&lt;&gt;"",IF(AND(B226&gt;=_TM1,B226&lt;=_TM2,OR(TH!L226="1111",TH!M226="1111")),TH!D226,""),"")</f>
        <v/>
      </c>
      <c r="B226" s="36" t="str">
        <f t="shared" si="6"/>
        <v/>
      </c>
      <c r="C226" s="187"/>
      <c r="D226" s="187"/>
      <c r="E226" s="187"/>
      <c r="F226" s="188"/>
      <c r="G226" s="854"/>
      <c r="H226" s="189"/>
      <c r="I226" s="249"/>
      <c r="J226" s="249"/>
      <c r="K226" s="589"/>
      <c r="L226" s="590"/>
      <c r="M226" s="590"/>
      <c r="N226" s="50" t="str">
        <f>IF(AND('331-CT'!$E$7=TH!H226,OR(L226="331",M226="331")),"331",IF(AND(OR(L226="131",M226="131"),H226='131-CT'!$E$7),"131",""))</f>
        <v/>
      </c>
      <c r="O226" s="50" t="str">
        <f>IF(AND($B226&gt;='111'!$N$11,$B226&lt;='111'!$O$11,OR($L226=$O$7,$M226=$O$7)),"x","")</f>
        <v/>
      </c>
      <c r="P226" s="50" t="str">
        <f>IF(AND($L226=$O$7,$B226&lt;'111'!$N$11),"x","")</f>
        <v/>
      </c>
      <c r="Q226" s="50" t="str">
        <f>IF(AND($M226=$O$7,$B226&lt;'111'!$N$11),"x","")</f>
        <v/>
      </c>
      <c r="R226" s="50" t="str">
        <f>IF(ISERROR(FIND('112'!$M$9,G226,1)),"",IF((AND(FIND('112'!$M$9,G226,1)&gt;=1,$B226&gt;='112'!$N$8,$B226&lt;='112'!$O$8,OR($L226='112'!$I$6,$M226='112'!$I$6))),"x",""))</f>
        <v/>
      </c>
      <c r="S226" s="50" t="str">
        <f>IF(ISERROR(FIND('112'!$M$9,G226,1)),"",IF((AND(LEFT(G226,2)=LEFT('112'!$M$9,2),B226&lt;'112'!$N$8,$L226='112'!$I$6)),"x",""))</f>
        <v/>
      </c>
      <c r="T226" s="50" t="str">
        <f>IF(ISERROR(FIND('112'!$M$9,G226,1)),"",IF((AND(RIGHT(G226,2)=RIGHT('112'!$M$9,2),B226&lt;'112'!$N$8,$M226='112'!$I$6)),"x",""))</f>
        <v/>
      </c>
      <c r="U226" s="50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0" t="str">
        <f>IF(OR(TH!L226=TH!$V$7,M226=TH!$V$7),"x","")</f>
        <v/>
      </c>
      <c r="W226" s="50" t="str">
        <f>IF(AND(B226&gt;='IN-NX'!$P$3,B226&lt;='IN-NX'!$Q$3,'IN-NX'!$D$7=D226,OR(LEFT(L226,2)="15",AND(LEFT(M226,2)&lt;&gt;"15",LEFT(M226,2)&lt;&gt;"33"))),"x","")</f>
        <v/>
      </c>
      <c r="X226" s="50" t="str">
        <f>IF(AND(OR(LEFT(TH!L226,2)="15",LEFT(TH!M226,2)="15"),'152-CT'!$J$8=TH!F226),"x","")</f>
        <v/>
      </c>
      <c r="Y226" s="50" t="str">
        <f>IF(AND(OR(LEFT(TH!L226,2)="15",LEFT(TH!M226,2)="15"),TK!$E$7=TH!F226),"x","")</f>
        <v/>
      </c>
      <c r="Z226" s="50" t="str">
        <f>IF(AND(B226&lt;=NKC!$N$8,B226&gt;=NKC!$M$8),"x","")</f>
        <v/>
      </c>
      <c r="AA226" s="845"/>
      <c r="AB226" s="581"/>
      <c r="AC226" s="581"/>
      <c r="AD226" s="581"/>
    </row>
    <row r="227" spans="1:30" s="201" customFormat="1" ht="15.75" customHeight="1">
      <c r="A227" s="846" t="str">
        <f>IF(B227&lt;&gt;"",IF(AND(B227&gt;=_TM1,B227&lt;=_TM2,OR(TH!L227="1111",TH!M227="1111")),TH!D227,""),"")</f>
        <v/>
      </c>
      <c r="B227" s="36" t="str">
        <f t="shared" si="6"/>
        <v/>
      </c>
      <c r="C227" s="187"/>
      <c r="D227" s="187"/>
      <c r="E227" s="187"/>
      <c r="F227" s="188"/>
      <c r="G227" s="854"/>
      <c r="H227" s="189"/>
      <c r="I227" s="249"/>
      <c r="J227" s="249"/>
      <c r="K227" s="589"/>
      <c r="L227" s="590"/>
      <c r="M227" s="590"/>
      <c r="N227" s="50" t="str">
        <f>IF(AND('331-CT'!$E$7=TH!H227,OR(L227="331",M227="331")),"331",IF(AND(OR(L227="131",M227="131"),H227='131-CT'!$E$7),"131",""))</f>
        <v/>
      </c>
      <c r="O227" s="50" t="str">
        <f>IF(AND($B227&gt;='111'!$N$11,$B227&lt;='111'!$O$11,OR($L227=$O$7,$M227=$O$7)),"x","")</f>
        <v/>
      </c>
      <c r="P227" s="50" t="str">
        <f>IF(AND($L227=$O$7,$B227&lt;'111'!$N$11),"x","")</f>
        <v/>
      </c>
      <c r="Q227" s="50" t="str">
        <f>IF(AND($M227=$O$7,$B227&lt;'111'!$N$11),"x","")</f>
        <v/>
      </c>
      <c r="R227" s="50" t="str">
        <f>IF(ISERROR(FIND('112'!$M$9,G227,1)),"",IF((AND(FIND('112'!$M$9,G227,1)&gt;=1,$B227&gt;='112'!$N$8,$B227&lt;='112'!$O$8,OR($L227='112'!$I$6,$M227='112'!$I$6))),"x",""))</f>
        <v/>
      </c>
      <c r="S227" s="50" t="str">
        <f>IF(ISERROR(FIND('112'!$M$9,G227,1)),"",IF((AND(LEFT(G227,2)=LEFT('112'!$M$9,2),B227&lt;'112'!$N$8,$L227='112'!$I$6)),"x",""))</f>
        <v/>
      </c>
      <c r="T227" s="50" t="str">
        <f>IF(ISERROR(FIND('112'!$M$9,G227,1)),"",IF((AND(RIGHT(G227,2)=RIGHT('112'!$M$9,2),B227&lt;'112'!$N$8,$M227='112'!$I$6)),"x",""))</f>
        <v/>
      </c>
      <c r="U227" s="50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0" t="str">
        <f>IF(OR(TH!L227=TH!$V$7,M227=TH!$V$7),"x","")</f>
        <v/>
      </c>
      <c r="W227" s="50" t="str">
        <f>IF(AND(B227&gt;='IN-NX'!$P$3,B227&lt;='IN-NX'!$Q$3,'IN-NX'!$D$7=D227,OR(LEFT(L227,2)="15",AND(LEFT(M227,2)&lt;&gt;"15",LEFT(M227,2)&lt;&gt;"33"))),"x","")</f>
        <v/>
      </c>
      <c r="X227" s="50" t="str">
        <f>IF(AND(OR(LEFT(TH!L227,2)="15",LEFT(TH!M227,2)="15"),'152-CT'!$J$8=TH!F227),"x","")</f>
        <v/>
      </c>
      <c r="Y227" s="50" t="str">
        <f>IF(AND(OR(LEFT(TH!L227,2)="15",LEFT(TH!M227,2)="15"),TK!$E$7=TH!F227),"x","")</f>
        <v/>
      </c>
      <c r="Z227" s="50" t="str">
        <f>IF(AND(B227&lt;=NKC!$N$8,B227&gt;=NKC!$M$8),"x","")</f>
        <v/>
      </c>
      <c r="AA227" s="845"/>
      <c r="AB227" s="581"/>
      <c r="AC227" s="581"/>
      <c r="AD227" s="581"/>
    </row>
    <row r="228" spans="1:30" s="201" customFormat="1" ht="15.75" customHeight="1">
      <c r="A228" s="846" t="str">
        <f>IF(B228&lt;&gt;"",IF(AND(B228&gt;=_TM1,B228&lt;=_TM2,OR(TH!L228="1111",TH!M228="1111")),TH!D228,""),"")</f>
        <v/>
      </c>
      <c r="B228" s="36" t="str">
        <f t="shared" si="6"/>
        <v/>
      </c>
      <c r="C228" s="187"/>
      <c r="D228" s="187"/>
      <c r="E228" s="187"/>
      <c r="F228" s="188"/>
      <c r="G228" s="854"/>
      <c r="H228" s="189"/>
      <c r="I228" s="249"/>
      <c r="J228" s="249"/>
      <c r="K228" s="589"/>
      <c r="L228" s="590"/>
      <c r="M228" s="590"/>
      <c r="N228" s="50" t="str">
        <f>IF(AND('331-CT'!$E$7=TH!H228,OR(L228="331",M228="331")),"331",IF(AND(OR(L228="131",M228="131"),H228='131-CT'!$E$7),"131",""))</f>
        <v/>
      </c>
      <c r="O228" s="50" t="str">
        <f>IF(AND($B228&gt;='111'!$N$11,$B228&lt;='111'!$O$11,OR($L228=$O$7,$M228=$O$7)),"x","")</f>
        <v/>
      </c>
      <c r="P228" s="50" t="str">
        <f>IF(AND($L228=$O$7,$B228&lt;'111'!$N$11),"x","")</f>
        <v/>
      </c>
      <c r="Q228" s="50" t="str">
        <f>IF(AND($M228=$O$7,$B228&lt;'111'!$N$11),"x","")</f>
        <v/>
      </c>
      <c r="R228" s="50" t="str">
        <f>IF(ISERROR(FIND('112'!$M$9,G228,1)),"",IF((AND(FIND('112'!$M$9,G228,1)&gt;=1,$B228&gt;='112'!$N$8,$B228&lt;='112'!$O$8,OR($L228='112'!$I$6,$M228='112'!$I$6))),"x",""))</f>
        <v/>
      </c>
      <c r="S228" s="50" t="str">
        <f>IF(ISERROR(FIND('112'!$M$9,G228,1)),"",IF((AND(LEFT(G228,2)=LEFT('112'!$M$9,2),B228&lt;'112'!$N$8,$L228='112'!$I$6)),"x",""))</f>
        <v/>
      </c>
      <c r="T228" s="50" t="str">
        <f>IF(ISERROR(FIND('112'!$M$9,G228,1)),"",IF((AND(RIGHT(G228,2)=RIGHT('112'!$M$9,2),B228&lt;'112'!$N$8,$M228='112'!$I$6)),"x",""))</f>
        <v/>
      </c>
      <c r="U228" s="50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0" t="str">
        <f>IF(OR(TH!L228=TH!$V$7,M228=TH!$V$7),"x","")</f>
        <v/>
      </c>
      <c r="W228" s="50" t="str">
        <f>IF(AND(B228&gt;='IN-NX'!$P$3,B228&lt;='IN-NX'!$Q$3,'IN-NX'!$D$7=D228,OR(LEFT(L228,2)="15",AND(LEFT(M228,2)&lt;&gt;"15",LEFT(M228,2)&lt;&gt;"33"))),"x","")</f>
        <v/>
      </c>
      <c r="X228" s="50" t="str">
        <f>IF(AND(OR(LEFT(TH!L228,2)="15",LEFT(TH!M228,2)="15"),'152-CT'!$J$8=TH!F228),"x","")</f>
        <v/>
      </c>
      <c r="Y228" s="50" t="str">
        <f>IF(AND(OR(LEFT(TH!L228,2)="15",LEFT(TH!M228,2)="15"),TK!$E$7=TH!F228),"x","")</f>
        <v/>
      </c>
      <c r="Z228" s="50" t="str">
        <f>IF(AND(B228&lt;=NKC!$N$8,B228&gt;=NKC!$M$8),"x","")</f>
        <v/>
      </c>
      <c r="AA228" s="845"/>
      <c r="AB228" s="581"/>
      <c r="AC228" s="581"/>
      <c r="AD228" s="581"/>
    </row>
    <row r="229" spans="1:30" s="201" customFormat="1" ht="15.75" customHeight="1">
      <c r="A229" s="846" t="str">
        <f>IF(B229&lt;&gt;"",IF(AND(B229&gt;=_TM1,B229&lt;=_TM2,OR(TH!L229="1111",TH!M229="1111")),TH!D229,""),"")</f>
        <v/>
      </c>
      <c r="B229" s="36" t="str">
        <f t="shared" si="6"/>
        <v/>
      </c>
      <c r="C229" s="187"/>
      <c r="D229" s="187"/>
      <c r="E229" s="187"/>
      <c r="F229" s="188"/>
      <c r="G229" s="854"/>
      <c r="H229" s="189"/>
      <c r="I229" s="249"/>
      <c r="J229" s="249"/>
      <c r="K229" s="589"/>
      <c r="L229" s="590"/>
      <c r="M229" s="590"/>
      <c r="N229" s="50" t="str">
        <f>IF(AND('331-CT'!$E$7=TH!H229,OR(L229="331",M229="331")),"331",IF(AND(OR(L229="131",M229="131"),H229='131-CT'!$E$7),"131",""))</f>
        <v/>
      </c>
      <c r="O229" s="50" t="str">
        <f>IF(AND($B229&gt;='111'!$N$11,$B229&lt;='111'!$O$11,OR($L229=$O$7,$M229=$O$7)),"x","")</f>
        <v/>
      </c>
      <c r="P229" s="50" t="str">
        <f>IF(AND($L229=$O$7,$B229&lt;'111'!$N$11),"x","")</f>
        <v/>
      </c>
      <c r="Q229" s="50" t="str">
        <f>IF(AND($M229=$O$7,$B229&lt;'111'!$N$11),"x","")</f>
        <v/>
      </c>
      <c r="R229" s="50" t="str">
        <f>IF(ISERROR(FIND('112'!$M$9,G229,1)),"",IF((AND(FIND('112'!$M$9,G229,1)&gt;=1,$B229&gt;='112'!$N$8,$B229&lt;='112'!$O$8,OR($L229='112'!$I$6,$M229='112'!$I$6))),"x",""))</f>
        <v/>
      </c>
      <c r="S229" s="50" t="str">
        <f>IF(ISERROR(FIND('112'!$M$9,G229,1)),"",IF((AND(LEFT(G229,2)=LEFT('112'!$M$9,2),B229&lt;'112'!$N$8,$L229='112'!$I$6)),"x",""))</f>
        <v/>
      </c>
      <c r="T229" s="50" t="str">
        <f>IF(ISERROR(FIND('112'!$M$9,G229,1)),"",IF((AND(RIGHT(G229,2)=RIGHT('112'!$M$9,2),B229&lt;'112'!$N$8,$M229='112'!$I$6)),"x",""))</f>
        <v/>
      </c>
      <c r="U229" s="50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0" t="str">
        <f>IF(OR(TH!L229=TH!$V$7,M229=TH!$V$7),"x","")</f>
        <v/>
      </c>
      <c r="W229" s="50" t="str">
        <f>IF(AND(B229&gt;='IN-NX'!$P$3,B229&lt;='IN-NX'!$Q$3,'IN-NX'!$D$7=D229,OR(LEFT(L229,2)="15",AND(LEFT(M229,2)&lt;&gt;"15",LEFT(M229,2)&lt;&gt;"33"))),"x","")</f>
        <v/>
      </c>
      <c r="X229" s="50" t="str">
        <f>IF(AND(OR(LEFT(TH!L229,2)="15",LEFT(TH!M229,2)="15"),'152-CT'!$J$8=TH!F229),"x","")</f>
        <v/>
      </c>
      <c r="Y229" s="50" t="str">
        <f>IF(AND(OR(LEFT(TH!L229,2)="15",LEFT(TH!M229,2)="15"),TK!$E$7=TH!F229),"x","")</f>
        <v/>
      </c>
      <c r="Z229" s="50" t="str">
        <f>IF(AND(B229&lt;=NKC!$N$8,B229&gt;=NKC!$M$8),"x","")</f>
        <v/>
      </c>
      <c r="AA229" s="845"/>
      <c r="AB229" s="581"/>
    </row>
    <row r="230" spans="1:30" s="201" customFormat="1" ht="15.75" customHeight="1">
      <c r="A230" s="846" t="str">
        <f>IF(B230&lt;&gt;"",IF(AND(B230&gt;=_TM1,B230&lt;=_TM2,OR(TH!L230="1111",TH!M230="1111")),TH!D230,""),"")</f>
        <v/>
      </c>
      <c r="B230" s="36" t="str">
        <f t="shared" si="6"/>
        <v/>
      </c>
      <c r="C230" s="187"/>
      <c r="D230" s="187"/>
      <c r="E230" s="187"/>
      <c r="F230" s="188"/>
      <c r="G230" s="854"/>
      <c r="H230" s="189"/>
      <c r="I230" s="249"/>
      <c r="J230" s="249"/>
      <c r="K230" s="589"/>
      <c r="L230" s="590"/>
      <c r="M230" s="590"/>
      <c r="N230" s="50" t="str">
        <f>IF(AND('331-CT'!$E$7=TH!H230,OR(L230="331",M230="331")),"331",IF(AND(OR(L230="131",M230="131"),H230='131-CT'!$E$7),"131",""))</f>
        <v/>
      </c>
      <c r="O230" s="50" t="str">
        <f>IF(AND($B230&gt;='111'!$N$11,$B230&lt;='111'!$O$11,OR($L230=$O$7,$M230=$O$7)),"x","")</f>
        <v/>
      </c>
      <c r="P230" s="50" t="str">
        <f>IF(AND($L230=$O$7,$B230&lt;'111'!$N$11),"x","")</f>
        <v/>
      </c>
      <c r="Q230" s="50" t="str">
        <f>IF(AND($M230=$O$7,$B230&lt;'111'!$N$11),"x","")</f>
        <v/>
      </c>
      <c r="R230" s="50" t="str">
        <f>IF(ISERROR(FIND('112'!$M$9,G230,1)),"",IF((AND(FIND('112'!$M$9,G230,1)&gt;=1,$B230&gt;='112'!$N$8,$B230&lt;='112'!$O$8,OR($L230='112'!$I$6,$M230='112'!$I$6))),"x",""))</f>
        <v/>
      </c>
      <c r="S230" s="50" t="str">
        <f>IF(ISERROR(FIND('112'!$M$9,G230,1)),"",IF((AND(LEFT(G230,2)=LEFT('112'!$M$9,2),B230&lt;'112'!$N$8,$L230='112'!$I$6)),"x",""))</f>
        <v/>
      </c>
      <c r="T230" s="50" t="str">
        <f>IF(ISERROR(FIND('112'!$M$9,G230,1)),"",IF((AND(RIGHT(G230,2)=RIGHT('112'!$M$9,2),B230&lt;'112'!$N$8,$M230='112'!$I$6)),"x",""))</f>
        <v/>
      </c>
      <c r="U230" s="50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0" t="str">
        <f>IF(OR(TH!L230=TH!$V$7,M230=TH!$V$7),"x","")</f>
        <v/>
      </c>
      <c r="W230" s="50" t="str">
        <f>IF(AND(B230&gt;='IN-NX'!$P$3,B230&lt;='IN-NX'!$Q$3,'IN-NX'!$D$7=D230,OR(LEFT(L230,2)="15",AND(LEFT(M230,2)&lt;&gt;"15",LEFT(M230,2)&lt;&gt;"33"))),"x","")</f>
        <v/>
      </c>
      <c r="X230" s="50" t="str">
        <f>IF(AND(OR(LEFT(TH!L230,2)="15",LEFT(TH!M230,2)="15"),'152-CT'!$J$8=TH!F230),"x","")</f>
        <v/>
      </c>
      <c r="Y230" s="50" t="str">
        <f>IF(AND(OR(LEFT(TH!L230,2)="15",LEFT(TH!M230,2)="15"),TK!$E$7=TH!F230),"x","")</f>
        <v/>
      </c>
      <c r="Z230" s="50" t="str">
        <f>IF(AND(B230&lt;=NKC!$N$8,B230&gt;=NKC!$M$8),"x","")</f>
        <v/>
      </c>
      <c r="AA230" s="845"/>
      <c r="AB230" s="581"/>
    </row>
    <row r="231" spans="1:30" s="201" customFormat="1" ht="15.75" customHeight="1">
      <c r="A231" s="846" t="str">
        <f>IF(B231&lt;&gt;"",IF(AND(B231&gt;=_TM1,B231&lt;=_TM2,OR(TH!L231="1111",TH!M231="1111")),TH!D231,""),"")</f>
        <v/>
      </c>
      <c r="B231" s="36" t="str">
        <f t="shared" si="6"/>
        <v/>
      </c>
      <c r="C231" s="187"/>
      <c r="D231" s="187"/>
      <c r="E231" s="187"/>
      <c r="F231" s="188"/>
      <c r="G231" s="854"/>
      <c r="H231" s="189"/>
      <c r="I231" s="249"/>
      <c r="J231" s="249"/>
      <c r="K231" s="589"/>
      <c r="L231" s="590"/>
      <c r="M231" s="590"/>
      <c r="N231" s="50" t="str">
        <f>IF(AND('331-CT'!$E$7=TH!H231,OR(L231="331",M231="331")),"331",IF(AND(OR(L231="131",M231="131"),H231='131-CT'!$E$7),"131",""))</f>
        <v/>
      </c>
      <c r="O231" s="50" t="str">
        <f>IF(AND($B231&gt;='111'!$N$11,$B231&lt;='111'!$O$11,OR($L231=$O$7,$M231=$O$7)),"x","")</f>
        <v/>
      </c>
      <c r="P231" s="50" t="str">
        <f>IF(AND($L231=$O$7,$B231&lt;'111'!$N$11),"x","")</f>
        <v/>
      </c>
      <c r="Q231" s="50" t="str">
        <f>IF(AND($M231=$O$7,$B231&lt;'111'!$N$11),"x","")</f>
        <v/>
      </c>
      <c r="R231" s="50" t="str">
        <f>IF(ISERROR(FIND('112'!$M$9,G231,1)),"",IF((AND(FIND('112'!$M$9,G231,1)&gt;=1,$B231&gt;='112'!$N$8,$B231&lt;='112'!$O$8,OR($L231='112'!$I$6,$M231='112'!$I$6))),"x",""))</f>
        <v/>
      </c>
      <c r="S231" s="50" t="str">
        <f>IF(ISERROR(FIND('112'!$M$9,G231,1)),"",IF((AND(LEFT(G231,2)=LEFT('112'!$M$9,2),B231&lt;'112'!$N$8,$L231='112'!$I$6)),"x",""))</f>
        <v/>
      </c>
      <c r="T231" s="50" t="str">
        <f>IF(ISERROR(FIND('112'!$M$9,G231,1)),"",IF((AND(RIGHT(G231,2)=RIGHT('112'!$M$9,2),B231&lt;'112'!$N$8,$M231='112'!$I$6)),"x",""))</f>
        <v/>
      </c>
      <c r="U231" s="50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0" t="str">
        <f>IF(OR(TH!L231=TH!$V$7,M231=TH!$V$7),"x","")</f>
        <v/>
      </c>
      <c r="W231" s="50" t="str">
        <f>IF(AND(B231&gt;='IN-NX'!$P$3,B231&lt;='IN-NX'!$Q$3,'IN-NX'!$D$7=D231,OR(LEFT(L231,2)="15",AND(LEFT(M231,2)&lt;&gt;"15",LEFT(M231,2)&lt;&gt;"33"))),"x","")</f>
        <v/>
      </c>
      <c r="X231" s="50" t="str">
        <f>IF(AND(OR(LEFT(TH!L231,2)="15",LEFT(TH!M231,2)="15"),'152-CT'!$J$8=TH!F231),"x","")</f>
        <v/>
      </c>
      <c r="Y231" s="50" t="str">
        <f>IF(AND(OR(LEFT(TH!L231,2)="15",LEFT(TH!M231,2)="15"),TK!$E$7=TH!F231),"x","")</f>
        <v/>
      </c>
      <c r="Z231" s="50" t="str">
        <f>IF(AND(B231&lt;=NKC!$N$8,B231&gt;=NKC!$M$8),"x","")</f>
        <v/>
      </c>
      <c r="AA231" s="845"/>
      <c r="AB231" s="581"/>
    </row>
    <row r="232" spans="1:30" s="201" customFormat="1" ht="15.75" customHeight="1">
      <c r="A232" s="846" t="str">
        <f>IF(B232&lt;&gt;"",IF(AND(B232&gt;=_TM1,B232&lt;=_TM2,OR(TH!L232="1111",TH!M232="1111")),TH!D232,""),"")</f>
        <v/>
      </c>
      <c r="B232" s="36" t="str">
        <f t="shared" si="6"/>
        <v/>
      </c>
      <c r="C232" s="187"/>
      <c r="D232" s="187"/>
      <c r="E232" s="187"/>
      <c r="F232" s="188"/>
      <c r="G232" s="854"/>
      <c r="H232" s="189"/>
      <c r="I232" s="249"/>
      <c r="J232" s="249"/>
      <c r="K232" s="589"/>
      <c r="L232" s="590"/>
      <c r="M232" s="590"/>
      <c r="N232" s="50" t="str">
        <f>IF(AND('331-CT'!$E$7=TH!H232,OR(L232="331",M232="331")),"331",IF(AND(OR(L232="131",M232="131"),H232='131-CT'!$E$7),"131",""))</f>
        <v/>
      </c>
      <c r="O232" s="50" t="str">
        <f>IF(AND($B232&gt;='111'!$N$11,$B232&lt;='111'!$O$11,OR($L232=$O$7,$M232=$O$7)),"x","")</f>
        <v/>
      </c>
      <c r="P232" s="50" t="str">
        <f>IF(AND($L232=$O$7,$B232&lt;'111'!$N$11),"x","")</f>
        <v/>
      </c>
      <c r="Q232" s="50" t="str">
        <f>IF(AND($M232=$O$7,$B232&lt;'111'!$N$11),"x","")</f>
        <v/>
      </c>
      <c r="R232" s="50" t="str">
        <f>IF(ISERROR(FIND('112'!$M$9,G232,1)),"",IF((AND(FIND('112'!$M$9,G232,1)&gt;=1,$B232&gt;='112'!$N$8,$B232&lt;='112'!$O$8,OR($L232='112'!$I$6,$M232='112'!$I$6))),"x",""))</f>
        <v/>
      </c>
      <c r="S232" s="50" t="str">
        <f>IF(ISERROR(FIND('112'!$M$9,G232,1)),"",IF((AND(LEFT(G232,2)=LEFT('112'!$M$9,2),B232&lt;'112'!$N$8,$L232='112'!$I$6)),"x",""))</f>
        <v/>
      </c>
      <c r="T232" s="50" t="str">
        <f>IF(ISERROR(FIND('112'!$M$9,G232,1)),"",IF((AND(RIGHT(G232,2)=RIGHT('112'!$M$9,2),B232&lt;'112'!$N$8,$M232='112'!$I$6)),"x",""))</f>
        <v/>
      </c>
      <c r="U232" s="50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0" t="str">
        <f>IF(OR(TH!L232=TH!$V$7,M232=TH!$V$7),"x","")</f>
        <v/>
      </c>
      <c r="W232" s="50" t="str">
        <f>IF(AND(B232&gt;='IN-NX'!$P$3,B232&lt;='IN-NX'!$Q$3,'IN-NX'!$D$7=D232,OR(LEFT(L232,2)="15",AND(LEFT(M232,2)&lt;&gt;"15",LEFT(M232,2)&lt;&gt;"33"))),"x","")</f>
        <v/>
      </c>
      <c r="X232" s="50" t="str">
        <f>IF(AND(OR(LEFT(TH!L232,2)="15",LEFT(TH!M232,2)="15"),'152-CT'!$J$8=TH!F232),"x","")</f>
        <v/>
      </c>
      <c r="Y232" s="50" t="str">
        <f>IF(AND(OR(LEFT(TH!L232,2)="15",LEFT(TH!M232,2)="15"),TK!$E$7=TH!F232),"x","")</f>
        <v/>
      </c>
      <c r="Z232" s="50" t="str">
        <f>IF(AND(B232&lt;=NKC!$N$8,B232&gt;=NKC!$M$8),"x","")</f>
        <v/>
      </c>
      <c r="AA232" s="845"/>
      <c r="AB232" s="581"/>
    </row>
    <row r="233" spans="1:30" s="201" customFormat="1" ht="15.75" customHeight="1">
      <c r="A233" s="846" t="str">
        <f>IF(B233&lt;&gt;"",IF(AND(B233&gt;=_TM1,B233&lt;=_TM2,OR(TH!L233="1111",TH!M233="1111")),TH!D233,""),"")</f>
        <v/>
      </c>
      <c r="B233" s="36" t="str">
        <f t="shared" si="6"/>
        <v/>
      </c>
      <c r="C233" s="187"/>
      <c r="D233" s="187"/>
      <c r="E233" s="187"/>
      <c r="F233" s="188"/>
      <c r="G233" s="854"/>
      <c r="H233" s="189"/>
      <c r="I233" s="249"/>
      <c r="J233" s="249"/>
      <c r="K233" s="589"/>
      <c r="L233" s="590"/>
      <c r="M233" s="590"/>
      <c r="N233" s="50" t="str">
        <f>IF(AND('331-CT'!$E$7=TH!H233,OR(L233="331",M233="331")),"331",IF(AND(OR(L233="131",M233="131"),H233='131-CT'!$E$7),"131",""))</f>
        <v/>
      </c>
      <c r="O233" s="50" t="str">
        <f>IF(AND($B233&gt;='111'!$N$11,$B233&lt;='111'!$O$11,OR($L233=$O$7,$M233=$O$7)),"x","")</f>
        <v/>
      </c>
      <c r="P233" s="50" t="str">
        <f>IF(AND($L233=$O$7,$B233&lt;'111'!$N$11),"x","")</f>
        <v/>
      </c>
      <c r="Q233" s="50" t="str">
        <f>IF(AND($M233=$O$7,$B233&lt;'111'!$N$11),"x","")</f>
        <v/>
      </c>
      <c r="R233" s="50" t="str">
        <f>IF(ISERROR(FIND('112'!$M$9,G233,1)),"",IF((AND(FIND('112'!$M$9,G233,1)&gt;=1,$B233&gt;='112'!$N$8,$B233&lt;='112'!$O$8,OR($L233='112'!$I$6,$M233='112'!$I$6))),"x",""))</f>
        <v/>
      </c>
      <c r="S233" s="50" t="str">
        <f>IF(ISERROR(FIND('112'!$M$9,G233,1)),"",IF((AND(LEFT(G233,2)=LEFT('112'!$M$9,2),B233&lt;'112'!$N$8,$L233='112'!$I$6)),"x",""))</f>
        <v/>
      </c>
      <c r="T233" s="50" t="str">
        <f>IF(ISERROR(FIND('112'!$M$9,G233,1)),"",IF((AND(RIGHT(G233,2)=RIGHT('112'!$M$9,2),B233&lt;'112'!$N$8,$M233='112'!$I$6)),"x",""))</f>
        <v/>
      </c>
      <c r="U233" s="50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0" t="str">
        <f>IF(OR(TH!L233=TH!$V$7,M233=TH!$V$7),"x","")</f>
        <v/>
      </c>
      <c r="W233" s="50" t="str">
        <f>IF(AND(B233&gt;='IN-NX'!$P$3,B233&lt;='IN-NX'!$Q$3,'IN-NX'!$D$7=D233,OR(LEFT(L233,2)="15",AND(LEFT(M233,2)&lt;&gt;"15",LEFT(M233,2)&lt;&gt;"33"))),"x","")</f>
        <v/>
      </c>
      <c r="X233" s="50" t="str">
        <f>IF(AND(OR(LEFT(TH!L233,2)="15",LEFT(TH!M233,2)="15"),'152-CT'!$J$8=TH!F233),"x","")</f>
        <v/>
      </c>
      <c r="Y233" s="50" t="str">
        <f>IF(AND(OR(LEFT(TH!L233,2)="15",LEFT(TH!M233,2)="15"),TK!$E$7=TH!F233),"x","")</f>
        <v/>
      </c>
      <c r="Z233" s="50" t="str">
        <f>IF(AND(B233&lt;=NKC!$N$8,B233&gt;=NKC!$M$8),"x","")</f>
        <v/>
      </c>
      <c r="AA233" s="845"/>
      <c r="AB233" s="581"/>
    </row>
    <row r="234" spans="1:30" s="201" customFormat="1" ht="15.75" customHeight="1">
      <c r="A234" s="846" t="str">
        <f>IF(B234&lt;&gt;"",IF(AND(B234&gt;=_TM1,B234&lt;=_TM2,OR(TH!L234="1111",TH!M234="1111")),TH!D234,""),"")</f>
        <v/>
      </c>
      <c r="B234" s="36" t="str">
        <f t="shared" si="6"/>
        <v/>
      </c>
      <c r="C234" s="187"/>
      <c r="D234" s="187"/>
      <c r="E234" s="187"/>
      <c r="F234" s="188"/>
      <c r="G234" s="854"/>
      <c r="H234" s="189"/>
      <c r="I234" s="249"/>
      <c r="J234" s="249"/>
      <c r="K234" s="589"/>
      <c r="L234" s="590"/>
      <c r="M234" s="590"/>
      <c r="N234" s="50" t="str">
        <f>IF(AND('331-CT'!$E$7=TH!H234,OR(L234="331",M234="331")),"331",IF(AND(OR(L234="131",M234="131"),H234='131-CT'!$E$7),"131",""))</f>
        <v/>
      </c>
      <c r="O234" s="50" t="str">
        <f>IF(AND($B234&gt;='111'!$N$11,$B234&lt;='111'!$O$11,OR($L234=$O$7,$M234=$O$7)),"x","")</f>
        <v/>
      </c>
      <c r="P234" s="50" t="str">
        <f>IF(AND($L234=$O$7,$B234&lt;'111'!$N$11),"x","")</f>
        <v/>
      </c>
      <c r="Q234" s="50" t="str">
        <f>IF(AND($M234=$O$7,$B234&lt;'111'!$N$11),"x","")</f>
        <v/>
      </c>
      <c r="R234" s="50" t="str">
        <f>IF(ISERROR(FIND('112'!$M$9,G234,1)),"",IF((AND(FIND('112'!$M$9,G234,1)&gt;=1,$B234&gt;='112'!$N$8,$B234&lt;='112'!$O$8,OR($L234='112'!$I$6,$M234='112'!$I$6))),"x",""))</f>
        <v/>
      </c>
      <c r="S234" s="50" t="str">
        <f>IF(ISERROR(FIND('112'!$M$9,G234,1)),"",IF((AND(LEFT(G234,2)=LEFT('112'!$M$9,2),B234&lt;'112'!$N$8,$L234='112'!$I$6)),"x",""))</f>
        <v/>
      </c>
      <c r="T234" s="50" t="str">
        <f>IF(ISERROR(FIND('112'!$M$9,G234,1)),"",IF((AND(RIGHT(G234,2)=RIGHT('112'!$M$9,2),B234&lt;'112'!$N$8,$M234='112'!$I$6)),"x",""))</f>
        <v/>
      </c>
      <c r="U234" s="50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0" t="str">
        <f>IF(OR(TH!L234=TH!$V$7,M234=TH!$V$7),"x","")</f>
        <v/>
      </c>
      <c r="W234" s="50" t="str">
        <f>IF(AND(B234&gt;='IN-NX'!$P$3,B234&lt;='IN-NX'!$Q$3,'IN-NX'!$D$7=D234,OR(LEFT(L234,2)="15",AND(LEFT(M234,2)&lt;&gt;"15",LEFT(M234,2)&lt;&gt;"33"))),"x","")</f>
        <v/>
      </c>
      <c r="X234" s="50" t="str">
        <f>IF(AND(OR(LEFT(TH!L234,2)="15",LEFT(TH!M234,2)="15"),'152-CT'!$J$8=TH!F234),"x","")</f>
        <v/>
      </c>
      <c r="Y234" s="50" t="str">
        <f>IF(AND(OR(LEFT(TH!L234,2)="15",LEFT(TH!M234,2)="15"),TK!$E$7=TH!F234),"x","")</f>
        <v/>
      </c>
      <c r="Z234" s="50" t="str">
        <f>IF(AND(B234&lt;=NKC!$N$8,B234&gt;=NKC!$M$8),"x","")</f>
        <v/>
      </c>
      <c r="AA234" s="845"/>
      <c r="AB234" s="581"/>
    </row>
    <row r="235" spans="1:30" s="201" customFormat="1" ht="15.75" customHeight="1">
      <c r="A235" s="846" t="str">
        <f>IF(B235&lt;&gt;"",IF(AND(B235&gt;=_TM1,B235&lt;=_TM2,OR(TH!L235="1111",TH!M235="1111")),TH!D235,""),"")</f>
        <v/>
      </c>
      <c r="B235" s="36" t="str">
        <f t="shared" si="6"/>
        <v/>
      </c>
      <c r="C235" s="187"/>
      <c r="D235" s="187"/>
      <c r="E235" s="187"/>
      <c r="F235" s="188"/>
      <c r="G235" s="854"/>
      <c r="H235" s="189"/>
      <c r="I235" s="249"/>
      <c r="J235" s="249"/>
      <c r="K235" s="589"/>
      <c r="L235" s="590"/>
      <c r="M235" s="590"/>
      <c r="N235" s="50" t="str">
        <f>IF(AND('331-CT'!$E$7=TH!H235,OR(L235="331",M235="331")),"331",IF(AND(OR(L235="131",M235="131"),H235='131-CT'!$E$7),"131",""))</f>
        <v/>
      </c>
      <c r="O235" s="50" t="str">
        <f>IF(AND($B235&gt;='111'!$N$11,$B235&lt;='111'!$O$11,OR($L235=$O$7,$M235=$O$7)),"x","")</f>
        <v/>
      </c>
      <c r="P235" s="50" t="str">
        <f>IF(AND($L235=$O$7,$B235&lt;'111'!$N$11),"x","")</f>
        <v/>
      </c>
      <c r="Q235" s="50" t="str">
        <f>IF(AND($M235=$O$7,$B235&lt;'111'!$N$11),"x","")</f>
        <v/>
      </c>
      <c r="R235" s="50" t="str">
        <f>IF(ISERROR(FIND('112'!$M$9,G235,1)),"",IF((AND(FIND('112'!$M$9,G235,1)&gt;=1,$B235&gt;='112'!$N$8,$B235&lt;='112'!$O$8,OR($L235='112'!$I$6,$M235='112'!$I$6))),"x",""))</f>
        <v/>
      </c>
      <c r="S235" s="50" t="str">
        <f>IF(ISERROR(FIND('112'!$M$9,G235,1)),"",IF((AND(LEFT(G235,2)=LEFT('112'!$M$9,2),B235&lt;'112'!$N$8,$L235='112'!$I$6)),"x",""))</f>
        <v/>
      </c>
      <c r="T235" s="50" t="str">
        <f>IF(ISERROR(FIND('112'!$M$9,G235,1)),"",IF((AND(RIGHT(G235,2)=RIGHT('112'!$M$9,2),B235&lt;'112'!$N$8,$M235='112'!$I$6)),"x",""))</f>
        <v/>
      </c>
      <c r="U235" s="50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0" t="str">
        <f>IF(OR(TH!L235=TH!$V$7,M235=TH!$V$7),"x","")</f>
        <v/>
      </c>
      <c r="W235" s="50" t="str">
        <f>IF(AND(B235&gt;='IN-NX'!$P$3,B235&lt;='IN-NX'!$Q$3,'IN-NX'!$D$7=D235,OR(LEFT(L235,2)="15",AND(LEFT(M235,2)&lt;&gt;"15",LEFT(M235,2)&lt;&gt;"33"))),"x","")</f>
        <v/>
      </c>
      <c r="X235" s="50" t="str">
        <f>IF(AND(OR(LEFT(TH!L235,2)="15",LEFT(TH!M235,2)="15"),'152-CT'!$J$8=TH!F235),"x","")</f>
        <v/>
      </c>
      <c r="Y235" s="50" t="str">
        <f>IF(AND(OR(LEFT(TH!L235,2)="15",LEFT(TH!M235,2)="15"),TK!$E$7=TH!F235),"x","")</f>
        <v/>
      </c>
      <c r="Z235" s="50" t="str">
        <f>IF(AND(B235&lt;=NKC!$N$8,B235&gt;=NKC!$M$8),"x","")</f>
        <v/>
      </c>
      <c r="AA235" s="845"/>
      <c r="AB235" s="581"/>
    </row>
    <row r="236" spans="1:30" s="201" customFormat="1" ht="15.75" customHeight="1">
      <c r="A236" s="846" t="str">
        <f>IF(B236&lt;&gt;"",IF(AND(B236&gt;=_TM1,B236&lt;=_TM2,OR(TH!L236="1111",TH!M236="1111")),TH!D236,""),"")</f>
        <v/>
      </c>
      <c r="B236" s="36" t="str">
        <f t="shared" si="6"/>
        <v/>
      </c>
      <c r="C236" s="187"/>
      <c r="D236" s="187"/>
      <c r="E236" s="187"/>
      <c r="F236" s="188"/>
      <c r="G236" s="854"/>
      <c r="H236" s="189"/>
      <c r="I236" s="249"/>
      <c r="J236" s="249"/>
      <c r="K236" s="589"/>
      <c r="L236" s="590"/>
      <c r="M236" s="590"/>
      <c r="N236" s="50" t="str">
        <f>IF(AND('331-CT'!$E$7=TH!H236,OR(L236="331",M236="331")),"331",IF(AND(OR(L236="131",M236="131"),H236='131-CT'!$E$7),"131",""))</f>
        <v/>
      </c>
      <c r="O236" s="50" t="str">
        <f>IF(AND($B236&gt;='111'!$N$11,$B236&lt;='111'!$O$11,OR($L236=$O$7,$M236=$O$7)),"x","")</f>
        <v/>
      </c>
      <c r="P236" s="50" t="str">
        <f>IF(AND($L236=$O$7,$B236&lt;'111'!$N$11),"x","")</f>
        <v/>
      </c>
      <c r="Q236" s="50" t="str">
        <f>IF(AND($M236=$O$7,$B236&lt;'111'!$N$11),"x","")</f>
        <v/>
      </c>
      <c r="R236" s="50" t="str">
        <f>IF(ISERROR(FIND('112'!$M$9,G236,1)),"",IF((AND(FIND('112'!$M$9,G236,1)&gt;=1,$B236&gt;='112'!$N$8,$B236&lt;='112'!$O$8,OR($L236='112'!$I$6,$M236='112'!$I$6))),"x",""))</f>
        <v/>
      </c>
      <c r="S236" s="50" t="str">
        <f>IF(ISERROR(FIND('112'!$M$9,G236,1)),"",IF((AND(LEFT(G236,2)=LEFT('112'!$M$9,2),B236&lt;'112'!$N$8,$L236='112'!$I$6)),"x",""))</f>
        <v/>
      </c>
      <c r="T236" s="50" t="str">
        <f>IF(ISERROR(FIND('112'!$M$9,G236,1)),"",IF((AND(RIGHT(G236,2)=RIGHT('112'!$M$9,2),B236&lt;'112'!$N$8,$M236='112'!$I$6)),"x",""))</f>
        <v/>
      </c>
      <c r="U236" s="50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0" t="str">
        <f>IF(OR(TH!L236=TH!$V$7,M236=TH!$V$7),"x","")</f>
        <v/>
      </c>
      <c r="W236" s="50" t="str">
        <f>IF(AND(B236&gt;='IN-NX'!$P$3,B236&lt;='IN-NX'!$Q$3,'IN-NX'!$D$7=D236,OR(LEFT(L236,2)="15",AND(LEFT(M236,2)&lt;&gt;"15",LEFT(M236,2)&lt;&gt;"33"))),"x","")</f>
        <v/>
      </c>
      <c r="X236" s="50" t="str">
        <f>IF(AND(OR(LEFT(TH!L236,2)="15",LEFT(TH!M236,2)="15"),'152-CT'!$J$8=TH!F236),"x","")</f>
        <v/>
      </c>
      <c r="Y236" s="50" t="str">
        <f>IF(AND(OR(LEFT(TH!L236,2)="15",LEFT(TH!M236,2)="15"),TK!$E$7=TH!F236),"x","")</f>
        <v/>
      </c>
      <c r="Z236" s="50" t="str">
        <f>IF(AND(B236&lt;=NKC!$N$8,B236&gt;=NKC!$M$8),"x","")</f>
        <v/>
      </c>
      <c r="AA236" s="845"/>
      <c r="AB236" s="581"/>
    </row>
    <row r="237" spans="1:30" s="201" customFormat="1" ht="15.75" customHeight="1">
      <c r="A237" s="846" t="str">
        <f>IF(B237&lt;&gt;"",IF(AND(B237&gt;=_TM1,B237&lt;=_TM2,OR(TH!L237="1111",TH!M237="1111")),TH!D237,""),"")</f>
        <v/>
      </c>
      <c r="B237" s="36" t="str">
        <f t="shared" si="6"/>
        <v/>
      </c>
      <c r="C237" s="187"/>
      <c r="D237" s="187"/>
      <c r="E237" s="187"/>
      <c r="F237" s="188"/>
      <c r="G237" s="854"/>
      <c r="H237" s="189"/>
      <c r="I237" s="249"/>
      <c r="J237" s="249"/>
      <c r="K237" s="589"/>
      <c r="L237" s="590"/>
      <c r="M237" s="590"/>
      <c r="N237" s="50" t="str">
        <f>IF(AND('331-CT'!$E$7=TH!H237,OR(L237="331",M237="331")),"331",IF(AND(OR(L237="131",M237="131"),H237='131-CT'!$E$7),"131",""))</f>
        <v/>
      </c>
      <c r="O237" s="50" t="str">
        <f>IF(AND($B237&gt;='111'!$N$11,$B237&lt;='111'!$O$11,OR($L237=$O$7,$M237=$O$7)),"x","")</f>
        <v/>
      </c>
      <c r="P237" s="50" t="str">
        <f>IF(AND($L237=$O$7,$B237&lt;'111'!$N$11),"x","")</f>
        <v/>
      </c>
      <c r="Q237" s="50" t="str">
        <f>IF(AND($M237=$O$7,$B237&lt;'111'!$N$11),"x","")</f>
        <v/>
      </c>
      <c r="R237" s="50" t="str">
        <f>IF(ISERROR(FIND('112'!$M$9,G237,1)),"",IF((AND(FIND('112'!$M$9,G237,1)&gt;=1,$B237&gt;='112'!$N$8,$B237&lt;='112'!$O$8,OR($L237='112'!$I$6,$M237='112'!$I$6))),"x",""))</f>
        <v/>
      </c>
      <c r="S237" s="50" t="str">
        <f>IF(ISERROR(FIND('112'!$M$9,G237,1)),"",IF((AND(LEFT(G237,2)=LEFT('112'!$M$9,2),B237&lt;'112'!$N$8,$L237='112'!$I$6)),"x",""))</f>
        <v/>
      </c>
      <c r="T237" s="50" t="str">
        <f>IF(ISERROR(FIND('112'!$M$9,G237,1)),"",IF((AND(RIGHT(G237,2)=RIGHT('112'!$M$9,2),B237&lt;'112'!$N$8,$M237='112'!$I$6)),"x",""))</f>
        <v/>
      </c>
      <c r="U237" s="50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0" t="str">
        <f>IF(OR(TH!L237=TH!$V$7,M237=TH!$V$7),"x","")</f>
        <v/>
      </c>
      <c r="W237" s="50" t="str">
        <f>IF(AND(B237&gt;='IN-NX'!$P$3,B237&lt;='IN-NX'!$Q$3,'IN-NX'!$D$7=D237,OR(LEFT(L237,2)="15",AND(LEFT(M237,2)&lt;&gt;"15",LEFT(M237,2)&lt;&gt;"33"))),"x","")</f>
        <v/>
      </c>
      <c r="X237" s="50" t="str">
        <f>IF(AND(OR(LEFT(TH!L237,2)="15",LEFT(TH!M237,2)="15"),'152-CT'!$J$8=TH!F237),"x","")</f>
        <v/>
      </c>
      <c r="Y237" s="50" t="str">
        <f>IF(AND(OR(LEFT(TH!L237,2)="15",LEFT(TH!M237,2)="15"),TK!$E$7=TH!F237),"x","")</f>
        <v/>
      </c>
      <c r="Z237" s="50" t="str">
        <f>IF(AND(B237&lt;=NKC!$N$8,B237&gt;=NKC!$M$8),"x","")</f>
        <v/>
      </c>
      <c r="AA237" s="845"/>
      <c r="AB237" s="581"/>
    </row>
    <row r="238" spans="1:30" s="201" customFormat="1" ht="15.75" customHeight="1">
      <c r="A238" s="846" t="str">
        <f>IF(B238&lt;&gt;"",IF(AND(B238&gt;=_TM1,B238&lt;=_TM2,OR(TH!L238="1111",TH!M238="1111")),TH!D238,""),"")</f>
        <v/>
      </c>
      <c r="B238" s="36" t="str">
        <f t="shared" si="6"/>
        <v/>
      </c>
      <c r="C238" s="187"/>
      <c r="D238" s="187"/>
      <c r="E238" s="187"/>
      <c r="F238" s="188"/>
      <c r="G238" s="854"/>
      <c r="H238" s="189"/>
      <c r="I238" s="249"/>
      <c r="J238" s="249"/>
      <c r="K238" s="589"/>
      <c r="L238" s="590"/>
      <c r="M238" s="590"/>
      <c r="N238" s="50" t="str">
        <f>IF(AND('331-CT'!$E$7=TH!H238,OR(L238="331",M238="331")),"331",IF(AND(OR(L238="131",M238="131"),H238='131-CT'!$E$7),"131",""))</f>
        <v/>
      </c>
      <c r="O238" s="50" t="str">
        <f>IF(AND($B238&gt;='111'!$N$11,$B238&lt;='111'!$O$11,OR($L238=$O$7,$M238=$O$7)),"x","")</f>
        <v/>
      </c>
      <c r="P238" s="50" t="str">
        <f>IF(AND($L238=$O$7,$B238&lt;'111'!$N$11),"x","")</f>
        <v/>
      </c>
      <c r="Q238" s="50" t="str">
        <f>IF(AND($M238=$O$7,$B238&lt;'111'!$N$11),"x","")</f>
        <v/>
      </c>
      <c r="R238" s="50" t="str">
        <f>IF(ISERROR(FIND('112'!$M$9,G238,1)),"",IF((AND(FIND('112'!$M$9,G238,1)&gt;=1,$B238&gt;='112'!$N$8,$B238&lt;='112'!$O$8,OR($L238='112'!$I$6,$M238='112'!$I$6))),"x",""))</f>
        <v/>
      </c>
      <c r="S238" s="50" t="str">
        <f>IF(ISERROR(FIND('112'!$M$9,G238,1)),"",IF((AND(LEFT(G238,2)=LEFT('112'!$M$9,2),B238&lt;'112'!$N$8,$L238='112'!$I$6)),"x",""))</f>
        <v/>
      </c>
      <c r="T238" s="50" t="str">
        <f>IF(ISERROR(FIND('112'!$M$9,G238,1)),"",IF((AND(RIGHT(G238,2)=RIGHT('112'!$M$9,2),B238&lt;'112'!$N$8,$M238='112'!$I$6)),"x",""))</f>
        <v/>
      </c>
      <c r="U238" s="50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0" t="str">
        <f>IF(OR(TH!L238=TH!$V$7,M238=TH!$V$7),"x","")</f>
        <v/>
      </c>
      <c r="W238" s="50" t="str">
        <f>IF(AND(B238&gt;='IN-NX'!$P$3,B238&lt;='IN-NX'!$Q$3,'IN-NX'!$D$7=D238,OR(LEFT(L238,2)="15",AND(LEFT(M238,2)&lt;&gt;"15",LEFT(M238,2)&lt;&gt;"33"))),"x","")</f>
        <v/>
      </c>
      <c r="X238" s="50" t="str">
        <f>IF(AND(OR(LEFT(TH!L238,2)="15",LEFT(TH!M238,2)="15"),'152-CT'!$J$8=TH!F238),"x","")</f>
        <v/>
      </c>
      <c r="Y238" s="50" t="str">
        <f>IF(AND(OR(LEFT(TH!L238,2)="15",LEFT(TH!M238,2)="15"),TK!$E$7=TH!F238),"x","")</f>
        <v/>
      </c>
      <c r="Z238" s="50" t="str">
        <f>IF(AND(B238&lt;=NKC!$N$8,B238&gt;=NKC!$M$8),"x","")</f>
        <v/>
      </c>
      <c r="AA238" s="845"/>
      <c r="AB238" s="581"/>
    </row>
    <row r="239" spans="1:30" s="201" customFormat="1" ht="15.75" customHeight="1">
      <c r="A239" s="846" t="str">
        <f>IF(B239&lt;&gt;"",IF(AND(B239&gt;=_TM1,B239&lt;=_TM2,OR(TH!L239="1111",TH!M239="1111")),TH!D239,""),"")</f>
        <v/>
      </c>
      <c r="B239" s="36" t="str">
        <f t="shared" si="6"/>
        <v/>
      </c>
      <c r="C239" s="187"/>
      <c r="D239" s="187"/>
      <c r="E239" s="187"/>
      <c r="F239" s="188"/>
      <c r="G239" s="854"/>
      <c r="H239" s="189"/>
      <c r="I239" s="249"/>
      <c r="J239" s="249"/>
      <c r="K239" s="589"/>
      <c r="L239" s="590"/>
      <c r="M239" s="590"/>
      <c r="N239" s="50" t="str">
        <f>IF(AND('331-CT'!$E$7=TH!H239,OR(L239="331",M239="331")),"331",IF(AND(OR(L239="131",M239="131"),H239='131-CT'!$E$7),"131",""))</f>
        <v/>
      </c>
      <c r="O239" s="50" t="str">
        <f>IF(AND($B239&gt;='111'!$N$11,$B239&lt;='111'!$O$11,OR($L239=$O$7,$M239=$O$7)),"x","")</f>
        <v/>
      </c>
      <c r="P239" s="50" t="str">
        <f>IF(AND($L239=$O$7,$B239&lt;'111'!$N$11),"x","")</f>
        <v/>
      </c>
      <c r="Q239" s="50" t="str">
        <f>IF(AND($M239=$O$7,$B239&lt;'111'!$N$11),"x","")</f>
        <v/>
      </c>
      <c r="R239" s="50" t="str">
        <f>IF(ISERROR(FIND('112'!$M$9,G239,1)),"",IF((AND(FIND('112'!$M$9,G239,1)&gt;=1,$B239&gt;='112'!$N$8,$B239&lt;='112'!$O$8,OR($L239='112'!$I$6,$M239='112'!$I$6))),"x",""))</f>
        <v/>
      </c>
      <c r="S239" s="50" t="str">
        <f>IF(ISERROR(FIND('112'!$M$9,G239,1)),"",IF((AND(LEFT(G239,2)=LEFT('112'!$M$9,2),B239&lt;'112'!$N$8,$L239='112'!$I$6)),"x",""))</f>
        <v/>
      </c>
      <c r="T239" s="50" t="str">
        <f>IF(ISERROR(FIND('112'!$M$9,G239,1)),"",IF((AND(RIGHT(G239,2)=RIGHT('112'!$M$9,2),B239&lt;'112'!$N$8,$M239='112'!$I$6)),"x",""))</f>
        <v/>
      </c>
      <c r="U239" s="50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0" t="str">
        <f>IF(OR(TH!L239=TH!$V$7,M239=TH!$V$7),"x","")</f>
        <v/>
      </c>
      <c r="W239" s="50" t="str">
        <f>IF(AND(B239&gt;='IN-NX'!$P$3,B239&lt;='IN-NX'!$Q$3,'IN-NX'!$D$7=D239,OR(LEFT(L239,2)="15",AND(LEFT(M239,2)&lt;&gt;"15",LEFT(M239,2)&lt;&gt;"33"))),"x","")</f>
        <v/>
      </c>
      <c r="X239" s="50" t="str">
        <f>IF(AND(OR(LEFT(TH!L239,2)="15",LEFT(TH!M239,2)="15"),'152-CT'!$J$8=TH!F239),"x","")</f>
        <v/>
      </c>
      <c r="Y239" s="50" t="str">
        <f>IF(AND(OR(LEFT(TH!L239,2)="15",LEFT(TH!M239,2)="15"),TK!$E$7=TH!F239),"x","")</f>
        <v/>
      </c>
      <c r="Z239" s="50" t="str">
        <f>IF(AND(B239&lt;=NKC!$N$8,B239&gt;=NKC!$M$8),"x","")</f>
        <v/>
      </c>
      <c r="AA239" s="845"/>
      <c r="AB239" s="581"/>
    </row>
    <row r="240" spans="1:30" s="201" customFormat="1" ht="15.75" customHeight="1">
      <c r="A240" s="846" t="str">
        <f>IF(B240&lt;&gt;"",IF(AND(B240&gt;=_TM1,B240&lt;=_TM2,OR(TH!L240="1111",TH!M240="1111")),TH!D240,""),"")</f>
        <v/>
      </c>
      <c r="B240" s="36" t="str">
        <f t="shared" si="6"/>
        <v/>
      </c>
      <c r="C240" s="187"/>
      <c r="D240" s="187"/>
      <c r="E240" s="187"/>
      <c r="F240" s="188"/>
      <c r="G240" s="854"/>
      <c r="H240" s="189"/>
      <c r="I240" s="249"/>
      <c r="J240" s="249"/>
      <c r="K240" s="589"/>
      <c r="L240" s="590"/>
      <c r="M240" s="590"/>
      <c r="N240" s="50" t="str">
        <f>IF(AND('331-CT'!$E$7=TH!H240,OR(L240="331",M240="331")),"331",IF(AND(OR(L240="131",M240="131"),H240='131-CT'!$E$7),"131",""))</f>
        <v/>
      </c>
      <c r="O240" s="50" t="str">
        <f>IF(AND($B240&gt;='111'!$N$11,$B240&lt;='111'!$O$11,OR($L240=$O$7,$M240=$O$7)),"x","")</f>
        <v/>
      </c>
      <c r="P240" s="50" t="str">
        <f>IF(AND($L240=$O$7,$B240&lt;'111'!$N$11),"x","")</f>
        <v/>
      </c>
      <c r="Q240" s="50" t="str">
        <f>IF(AND($M240=$O$7,$B240&lt;'111'!$N$11),"x","")</f>
        <v/>
      </c>
      <c r="R240" s="50" t="str">
        <f>IF(ISERROR(FIND('112'!$M$9,G240,1)),"",IF((AND(FIND('112'!$M$9,G240,1)&gt;=1,$B240&gt;='112'!$N$8,$B240&lt;='112'!$O$8,OR($L240='112'!$I$6,$M240='112'!$I$6))),"x",""))</f>
        <v/>
      </c>
      <c r="S240" s="50" t="str">
        <f>IF(ISERROR(FIND('112'!$M$9,G240,1)),"",IF((AND(LEFT(G240,2)=LEFT('112'!$M$9,2),B240&lt;'112'!$N$8,$L240='112'!$I$6)),"x",""))</f>
        <v/>
      </c>
      <c r="T240" s="50" t="str">
        <f>IF(ISERROR(FIND('112'!$M$9,G240,1)),"",IF((AND(RIGHT(G240,2)=RIGHT('112'!$M$9,2),B240&lt;'112'!$N$8,$M240='112'!$I$6)),"x",""))</f>
        <v/>
      </c>
      <c r="U240" s="50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0" t="str">
        <f>IF(OR(TH!L240=TH!$V$7,M240=TH!$V$7),"x","")</f>
        <v/>
      </c>
      <c r="W240" s="50" t="str">
        <f>IF(AND(B240&gt;='IN-NX'!$P$3,B240&lt;='IN-NX'!$Q$3,'IN-NX'!$D$7=D240,OR(LEFT(L240,2)="15",AND(LEFT(M240,2)&lt;&gt;"15",LEFT(M240,2)&lt;&gt;"33"))),"x","")</f>
        <v/>
      </c>
      <c r="X240" s="50" t="str">
        <f>IF(AND(OR(LEFT(TH!L240,2)="15",LEFT(TH!M240,2)="15"),'152-CT'!$J$8=TH!F240),"x","")</f>
        <v/>
      </c>
      <c r="Y240" s="50" t="str">
        <f>IF(AND(OR(LEFT(TH!L240,2)="15",LEFT(TH!M240,2)="15"),TK!$E$7=TH!F240),"x","")</f>
        <v/>
      </c>
      <c r="Z240" s="50" t="str">
        <f>IF(AND(B240&lt;=NKC!$N$8,B240&gt;=NKC!$M$8),"x","")</f>
        <v/>
      </c>
      <c r="AA240" s="845"/>
      <c r="AB240" s="581"/>
    </row>
    <row r="241" spans="1:30" s="201" customFormat="1" ht="15.75" customHeight="1">
      <c r="A241" s="846" t="str">
        <f>IF(B241&lt;&gt;"",IF(AND(B241&gt;=_TM1,B241&lt;=_TM2,OR(TH!L241="1111",TH!M241="1111")),TH!D241,""),"")</f>
        <v/>
      </c>
      <c r="B241" s="36" t="str">
        <f t="shared" si="6"/>
        <v/>
      </c>
      <c r="C241" s="187"/>
      <c r="D241" s="187"/>
      <c r="E241" s="187"/>
      <c r="F241" s="188"/>
      <c r="G241" s="854"/>
      <c r="H241" s="189"/>
      <c r="I241" s="249"/>
      <c r="J241" s="249"/>
      <c r="K241" s="589"/>
      <c r="L241" s="590"/>
      <c r="M241" s="590"/>
      <c r="N241" s="50" t="str">
        <f>IF(AND('331-CT'!$E$7=TH!H241,OR(L241="331",M241="331")),"331",IF(AND(OR(L241="131",M241="131"),H241='131-CT'!$E$7),"131",""))</f>
        <v/>
      </c>
      <c r="O241" s="50" t="str">
        <f>IF(AND($B241&gt;='111'!$N$11,$B241&lt;='111'!$O$11,OR($L241=$O$7,$M241=$O$7)),"x","")</f>
        <v/>
      </c>
      <c r="P241" s="50" t="str">
        <f>IF(AND($L241=$O$7,$B241&lt;'111'!$N$11),"x","")</f>
        <v/>
      </c>
      <c r="Q241" s="50" t="str">
        <f>IF(AND($M241=$O$7,$B241&lt;'111'!$N$11),"x","")</f>
        <v/>
      </c>
      <c r="R241" s="50" t="str">
        <f>IF(ISERROR(FIND('112'!$M$9,G241,1)),"",IF((AND(FIND('112'!$M$9,G241,1)&gt;=1,$B241&gt;='112'!$N$8,$B241&lt;='112'!$O$8,OR($L241='112'!$I$6,$M241='112'!$I$6))),"x",""))</f>
        <v/>
      </c>
      <c r="S241" s="50" t="str">
        <f>IF(ISERROR(FIND('112'!$M$9,G241,1)),"",IF((AND(LEFT(G241,2)=LEFT('112'!$M$9,2),B241&lt;'112'!$N$8,$L241='112'!$I$6)),"x",""))</f>
        <v/>
      </c>
      <c r="T241" s="50" t="str">
        <f>IF(ISERROR(FIND('112'!$M$9,G241,1)),"",IF((AND(RIGHT(G241,2)=RIGHT('112'!$M$9,2),B241&lt;'112'!$N$8,$M241='112'!$I$6)),"x",""))</f>
        <v/>
      </c>
      <c r="U241" s="50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0" t="str">
        <f>IF(OR(TH!L241=TH!$V$7,M241=TH!$V$7),"x","")</f>
        <v/>
      </c>
      <c r="W241" s="50" t="str">
        <f>IF(AND(B241&gt;='IN-NX'!$P$3,B241&lt;='IN-NX'!$Q$3,'IN-NX'!$D$7=D241,OR(LEFT(L241,2)="15",AND(LEFT(M241,2)&lt;&gt;"15",LEFT(M241,2)&lt;&gt;"33"))),"x","")</f>
        <v/>
      </c>
      <c r="X241" s="50" t="str">
        <f>IF(AND(OR(LEFT(TH!L241,2)="15",LEFT(TH!M241,2)="15"),'152-CT'!$J$8=TH!F241),"x","")</f>
        <v/>
      </c>
      <c r="Y241" s="50" t="str">
        <f>IF(AND(OR(LEFT(TH!L241,2)="15",LEFT(TH!M241,2)="15"),TK!$E$7=TH!F241),"x","")</f>
        <v/>
      </c>
      <c r="Z241" s="50" t="str">
        <f>IF(AND(B241&lt;=NKC!$N$8,B241&gt;=NKC!$M$8),"x","")</f>
        <v/>
      </c>
      <c r="AA241" s="845"/>
      <c r="AB241" s="581"/>
    </row>
    <row r="242" spans="1:30" s="201" customFormat="1" ht="15.75" customHeight="1">
      <c r="A242" s="846" t="str">
        <f>IF(B242&lt;&gt;"",IF(AND(B242&gt;=_TM1,B242&lt;=_TM2,OR(TH!L242="1111",TH!M242="1111")),TH!D242,""),"")</f>
        <v/>
      </c>
      <c r="B242" s="36" t="str">
        <f t="shared" ref="B242:B312" si="7">IF(C242&lt;&gt;"",MONTH(C242),"")</f>
        <v/>
      </c>
      <c r="C242" s="187"/>
      <c r="D242" s="187"/>
      <c r="E242" s="187"/>
      <c r="F242" s="188"/>
      <c r="G242" s="854"/>
      <c r="H242" s="189"/>
      <c r="I242" s="249"/>
      <c r="J242" s="249"/>
      <c r="K242" s="589"/>
      <c r="L242" s="590"/>
      <c r="M242" s="590"/>
      <c r="N242" s="50" t="str">
        <f>IF(AND('331-CT'!$E$7=TH!H242,OR(L242="331",M242="331")),"331",IF(AND(OR(L242="131",M242="131"),H242='131-CT'!$E$7),"131",""))</f>
        <v/>
      </c>
      <c r="O242" s="50" t="str">
        <f>IF(AND($B242&gt;='111'!$N$11,$B242&lt;='111'!$O$11,OR($L242=$O$7,$M242=$O$7)),"x","")</f>
        <v/>
      </c>
      <c r="P242" s="50" t="str">
        <f>IF(AND($L242=$O$7,$B242&lt;'111'!$N$11),"x","")</f>
        <v/>
      </c>
      <c r="Q242" s="50" t="str">
        <f>IF(AND($M242=$O$7,$B242&lt;'111'!$N$11),"x","")</f>
        <v/>
      </c>
      <c r="R242" s="50" t="str">
        <f>IF(ISERROR(FIND('112'!$M$9,G242,1)),"",IF((AND(FIND('112'!$M$9,G242,1)&gt;=1,$B242&gt;='112'!$N$8,$B242&lt;='112'!$O$8,OR($L242='112'!$I$6,$M242='112'!$I$6))),"x",""))</f>
        <v/>
      </c>
      <c r="S242" s="50" t="str">
        <f>IF(ISERROR(FIND('112'!$M$9,G242,1)),"",IF((AND(LEFT(G242,2)=LEFT('112'!$M$9,2),B242&lt;'112'!$N$8,$L242='112'!$I$6)),"x",""))</f>
        <v/>
      </c>
      <c r="T242" s="50" t="str">
        <f>IF(ISERROR(FIND('112'!$M$9,G242,1)),"",IF((AND(RIGHT(G242,2)=RIGHT('112'!$M$9,2),B242&lt;'112'!$N$8,$M242='112'!$I$6)),"x",""))</f>
        <v/>
      </c>
      <c r="U242" s="50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0" t="str">
        <f>IF(OR(TH!L242=TH!$V$7,M242=TH!$V$7),"x","")</f>
        <v/>
      </c>
      <c r="W242" s="50" t="str">
        <f>IF(AND(B242&gt;='IN-NX'!$P$3,B242&lt;='IN-NX'!$Q$3,'IN-NX'!$D$7=D242,OR(LEFT(L242,2)="15",AND(LEFT(M242,2)&lt;&gt;"15",LEFT(M242,2)&lt;&gt;"33"))),"x","")</f>
        <v/>
      </c>
      <c r="X242" s="50" t="str">
        <f>IF(AND(OR(LEFT(TH!L242,2)="15",LEFT(TH!M242,2)="15"),'152-CT'!$J$8=TH!F242),"x","")</f>
        <v/>
      </c>
      <c r="Y242" s="50" t="str">
        <f>IF(AND(OR(LEFT(TH!L242,2)="15",LEFT(TH!M242,2)="15"),TK!$E$7=TH!F242),"x","")</f>
        <v/>
      </c>
      <c r="Z242" s="50" t="str">
        <f>IF(AND(B242&lt;=NKC!$N$8,B242&gt;=NKC!$M$8),"x","")</f>
        <v/>
      </c>
      <c r="AA242" s="845"/>
      <c r="AB242" s="581"/>
    </row>
    <row r="243" spans="1:30" s="201" customFormat="1" ht="15.75" customHeight="1">
      <c r="A243" s="846" t="str">
        <f>IF(B243&lt;&gt;"",IF(AND(B243&gt;=_TM1,B243&lt;=_TM2,OR(TH!L243="1111",TH!M243="1111")),TH!D243,""),"")</f>
        <v/>
      </c>
      <c r="B243" s="36" t="str">
        <f t="shared" si="7"/>
        <v/>
      </c>
      <c r="C243" s="187"/>
      <c r="D243" s="187"/>
      <c r="E243" s="187"/>
      <c r="F243" s="188"/>
      <c r="G243" s="854"/>
      <c r="H243" s="189"/>
      <c r="I243" s="249"/>
      <c r="J243" s="249"/>
      <c r="K243" s="589"/>
      <c r="L243" s="590"/>
      <c r="M243" s="590"/>
      <c r="N243" s="50" t="str">
        <f>IF(AND('331-CT'!$E$7=TH!H243,OR(L243="331",M243="331")),"331",IF(AND(OR(L243="131",M243="131"),H243='131-CT'!$E$7),"131",""))</f>
        <v/>
      </c>
      <c r="O243" s="50" t="str">
        <f>IF(AND($B243&gt;='111'!$N$11,$B243&lt;='111'!$O$11,OR($L243=$O$7,$M243=$O$7)),"x","")</f>
        <v/>
      </c>
      <c r="P243" s="50" t="str">
        <f>IF(AND($L243=$O$7,$B243&lt;'111'!$N$11),"x","")</f>
        <v/>
      </c>
      <c r="Q243" s="50" t="str">
        <f>IF(AND($M243=$O$7,$B243&lt;'111'!$N$11),"x","")</f>
        <v/>
      </c>
      <c r="R243" s="50" t="str">
        <f>IF(ISERROR(FIND('112'!$M$9,G243,1)),"",IF((AND(FIND('112'!$M$9,G243,1)&gt;=1,$B243&gt;='112'!$N$8,$B243&lt;='112'!$O$8,OR($L243='112'!$I$6,$M243='112'!$I$6))),"x",""))</f>
        <v/>
      </c>
      <c r="S243" s="50" t="str">
        <f>IF(ISERROR(FIND('112'!$M$9,G243,1)),"",IF((AND(LEFT(G243,2)=LEFT('112'!$M$9,2),B243&lt;'112'!$N$8,$L243='112'!$I$6)),"x",""))</f>
        <v/>
      </c>
      <c r="T243" s="50" t="str">
        <f>IF(ISERROR(FIND('112'!$M$9,G243,1)),"",IF((AND(RIGHT(G243,2)=RIGHT('112'!$M$9,2),B243&lt;'112'!$N$8,$M243='112'!$I$6)),"x",""))</f>
        <v/>
      </c>
      <c r="U243" s="50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0" t="str">
        <f>IF(OR(TH!L243=TH!$V$7,M243=TH!$V$7),"x","")</f>
        <v/>
      </c>
      <c r="W243" s="50" t="str">
        <f>IF(AND(B243&gt;='IN-NX'!$P$3,B243&lt;='IN-NX'!$Q$3,'IN-NX'!$D$7=D243,OR(LEFT(L243,2)="15",AND(LEFT(M243,2)&lt;&gt;"15",LEFT(M243,2)&lt;&gt;"33"))),"x","")</f>
        <v/>
      </c>
      <c r="X243" s="50" t="str">
        <f>IF(AND(OR(LEFT(TH!L243,2)="15",LEFT(TH!M243,2)="15"),'152-CT'!$J$8=TH!F243),"x","")</f>
        <v/>
      </c>
      <c r="Y243" s="50" t="str">
        <f>IF(AND(OR(LEFT(TH!L243,2)="15",LEFT(TH!M243,2)="15"),TK!$E$7=TH!F243),"x","")</f>
        <v/>
      </c>
      <c r="Z243" s="50" t="str">
        <f>IF(AND(B243&lt;=NKC!$N$8,B243&gt;=NKC!$M$8),"x","")</f>
        <v/>
      </c>
      <c r="AA243" s="845"/>
      <c r="AB243" s="581"/>
    </row>
    <row r="244" spans="1:30" s="201" customFormat="1" ht="15.75" customHeight="1">
      <c r="A244" s="846" t="str">
        <f>IF(B244&lt;&gt;"",IF(AND(B244&gt;=_TM1,B244&lt;=_TM2,OR(TH!L244="1111",TH!M244="1111")),TH!D244,""),"")</f>
        <v/>
      </c>
      <c r="B244" s="36" t="str">
        <f t="shared" si="7"/>
        <v/>
      </c>
      <c r="C244" s="187"/>
      <c r="D244" s="187"/>
      <c r="E244" s="187"/>
      <c r="F244" s="188"/>
      <c r="G244" s="854"/>
      <c r="H244" s="189"/>
      <c r="I244" s="249"/>
      <c r="J244" s="249"/>
      <c r="K244" s="589"/>
      <c r="L244" s="590"/>
      <c r="M244" s="590"/>
      <c r="N244" s="50" t="str">
        <f>IF(AND('331-CT'!$E$7=TH!H244,OR(L244="331",M244="331")),"331",IF(AND(OR(L244="131",M244="131"),H244='131-CT'!$E$7),"131",""))</f>
        <v/>
      </c>
      <c r="O244" s="50" t="str">
        <f>IF(AND($B244&gt;='111'!$N$11,$B244&lt;='111'!$O$11,OR($L244=$O$7,$M244=$O$7)),"x","")</f>
        <v/>
      </c>
      <c r="P244" s="50" t="str">
        <f>IF(AND($L244=$O$7,$B244&lt;'111'!$N$11),"x","")</f>
        <v/>
      </c>
      <c r="Q244" s="50" t="str">
        <f>IF(AND($M244=$O$7,$B244&lt;'111'!$N$11),"x","")</f>
        <v/>
      </c>
      <c r="R244" s="50" t="str">
        <f>IF(ISERROR(FIND('112'!$M$9,G244,1)),"",IF((AND(FIND('112'!$M$9,G244,1)&gt;=1,$B244&gt;='112'!$N$8,$B244&lt;='112'!$O$8,OR($L244='112'!$I$6,$M244='112'!$I$6))),"x",""))</f>
        <v/>
      </c>
      <c r="S244" s="50" t="str">
        <f>IF(ISERROR(FIND('112'!$M$9,G244,1)),"",IF((AND(LEFT(G244,2)=LEFT('112'!$M$9,2),B244&lt;'112'!$N$8,$L244='112'!$I$6)),"x",""))</f>
        <v/>
      </c>
      <c r="T244" s="50" t="str">
        <f>IF(ISERROR(FIND('112'!$M$9,G244,1)),"",IF((AND(RIGHT(G244,2)=RIGHT('112'!$M$9,2),B244&lt;'112'!$N$8,$M244='112'!$I$6)),"x",""))</f>
        <v/>
      </c>
      <c r="U244" s="50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0" t="str">
        <f>IF(OR(TH!L244=TH!$V$7,M244=TH!$V$7),"x","")</f>
        <v/>
      </c>
      <c r="W244" s="50" t="str">
        <f>IF(AND(B244&gt;='IN-NX'!$P$3,B244&lt;='IN-NX'!$Q$3,'IN-NX'!$D$7=D244,OR(LEFT(L244,2)="15",AND(LEFT(M244,2)&lt;&gt;"15",LEFT(M244,2)&lt;&gt;"33"))),"x","")</f>
        <v/>
      </c>
      <c r="X244" s="50" t="str">
        <f>IF(AND(OR(LEFT(TH!L244,2)="15",LEFT(TH!M244,2)="15"),'152-CT'!$J$8=TH!F244),"x","")</f>
        <v/>
      </c>
      <c r="Y244" s="50" t="str">
        <f>IF(AND(OR(LEFT(TH!L244,2)="15",LEFT(TH!M244,2)="15"),TK!$E$7=TH!F244),"x","")</f>
        <v/>
      </c>
      <c r="Z244" s="50" t="str">
        <f>IF(AND(B244&lt;=NKC!$N$8,B244&gt;=NKC!$M$8),"x","")</f>
        <v/>
      </c>
      <c r="AA244" s="845"/>
      <c r="AB244" s="581"/>
    </row>
    <row r="245" spans="1:30" s="201" customFormat="1" ht="15.75" customHeight="1">
      <c r="A245" s="846" t="str">
        <f>IF(B245&lt;&gt;"",IF(AND(B245&gt;=_TM1,B245&lt;=_TM2,OR(TH!L245="1111",TH!M245="1111")),TH!D245,""),"")</f>
        <v/>
      </c>
      <c r="B245" s="36" t="str">
        <f t="shared" si="7"/>
        <v/>
      </c>
      <c r="C245" s="187"/>
      <c r="D245" s="187"/>
      <c r="E245" s="187"/>
      <c r="F245" s="188"/>
      <c r="G245" s="854"/>
      <c r="H245" s="189"/>
      <c r="I245" s="249"/>
      <c r="J245" s="249"/>
      <c r="K245" s="589"/>
      <c r="L245" s="590"/>
      <c r="M245" s="590"/>
      <c r="N245" s="50" t="str">
        <f>IF(AND('331-CT'!$E$7=TH!H245,OR(L245="331",M245="331")),"331",IF(AND(OR(L245="131",M245="131"),H245='131-CT'!$E$7),"131",""))</f>
        <v/>
      </c>
      <c r="O245" s="50" t="str">
        <f>IF(AND($B245&gt;='111'!$N$11,$B245&lt;='111'!$O$11,OR($L245=$O$7,$M245=$O$7)),"x","")</f>
        <v/>
      </c>
      <c r="P245" s="50" t="str">
        <f>IF(AND($L245=$O$7,$B245&lt;'111'!$N$11),"x","")</f>
        <v/>
      </c>
      <c r="Q245" s="50" t="str">
        <f>IF(AND($M245=$O$7,$B245&lt;'111'!$N$11),"x","")</f>
        <v/>
      </c>
      <c r="R245" s="50" t="str">
        <f>IF(ISERROR(FIND('112'!$M$9,G245,1)),"",IF((AND(FIND('112'!$M$9,G245,1)&gt;=1,$B245&gt;='112'!$N$8,$B245&lt;='112'!$O$8,OR($L245='112'!$I$6,$M245='112'!$I$6))),"x",""))</f>
        <v/>
      </c>
      <c r="S245" s="50" t="str">
        <f>IF(ISERROR(FIND('112'!$M$9,G245,1)),"",IF((AND(LEFT(G245,2)=LEFT('112'!$M$9,2),B245&lt;'112'!$N$8,$L245='112'!$I$6)),"x",""))</f>
        <v/>
      </c>
      <c r="T245" s="50" t="str">
        <f>IF(ISERROR(FIND('112'!$M$9,G245,1)),"",IF((AND(RIGHT(G245,2)=RIGHT('112'!$M$9,2),B245&lt;'112'!$N$8,$M245='112'!$I$6)),"x",""))</f>
        <v/>
      </c>
      <c r="U245" s="50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0" t="str">
        <f>IF(OR(TH!L245=TH!$V$7,M245=TH!$V$7),"x","")</f>
        <v/>
      </c>
      <c r="W245" s="50" t="str">
        <f>IF(AND(B245&gt;='IN-NX'!$P$3,B245&lt;='IN-NX'!$Q$3,'IN-NX'!$D$7=D245,OR(LEFT(L245,2)="15",AND(LEFT(M245,2)&lt;&gt;"15",LEFT(M245,2)&lt;&gt;"33"))),"x","")</f>
        <v/>
      </c>
      <c r="X245" s="50" t="str">
        <f>IF(AND(OR(LEFT(TH!L245,2)="15",LEFT(TH!M245,2)="15"),'152-CT'!$J$8=TH!F245),"x","")</f>
        <v/>
      </c>
      <c r="Y245" s="50" t="str">
        <f>IF(AND(OR(LEFT(TH!L245,2)="15",LEFT(TH!M245,2)="15"),TK!$E$7=TH!F245),"x","")</f>
        <v/>
      </c>
      <c r="Z245" s="50" t="str">
        <f>IF(AND(B245&lt;=NKC!$N$8,B245&gt;=NKC!$M$8),"x","")</f>
        <v/>
      </c>
      <c r="AA245" s="845"/>
      <c r="AB245" s="581"/>
    </row>
    <row r="246" spans="1:30" s="201" customFormat="1" ht="15.75" customHeight="1">
      <c r="A246" s="846" t="str">
        <f>IF(B246&lt;&gt;"",IF(AND(B246&gt;=_TM1,B246&lt;=_TM2,OR(TH!L246="1111",TH!M246="1111")),TH!D246,""),"")</f>
        <v/>
      </c>
      <c r="B246" s="36" t="str">
        <f t="shared" si="7"/>
        <v/>
      </c>
      <c r="C246" s="187"/>
      <c r="D246" s="187"/>
      <c r="E246" s="187"/>
      <c r="F246" s="188"/>
      <c r="G246" s="854"/>
      <c r="H246" s="189"/>
      <c r="I246" s="249"/>
      <c r="J246" s="249"/>
      <c r="K246" s="589"/>
      <c r="L246" s="590"/>
      <c r="M246" s="590"/>
      <c r="N246" s="50" t="str">
        <f>IF(AND('331-CT'!$E$7=TH!H246,OR(L246="331",M246="331")),"331",IF(AND(OR(L246="131",M246="131"),H246='131-CT'!$E$7),"131",""))</f>
        <v/>
      </c>
      <c r="O246" s="50" t="str">
        <f>IF(AND($B246&gt;='111'!$N$11,$B246&lt;='111'!$O$11,OR($L246=$O$7,$M246=$O$7)),"x","")</f>
        <v/>
      </c>
      <c r="P246" s="50" t="str">
        <f>IF(AND($L246=$O$7,$B246&lt;'111'!$N$11),"x","")</f>
        <v/>
      </c>
      <c r="Q246" s="50" t="str">
        <f>IF(AND($M246=$O$7,$B246&lt;'111'!$N$11),"x","")</f>
        <v/>
      </c>
      <c r="R246" s="50" t="str">
        <f>IF(ISERROR(FIND('112'!$M$9,G246,1)),"",IF((AND(FIND('112'!$M$9,G246,1)&gt;=1,$B246&gt;='112'!$N$8,$B246&lt;='112'!$O$8,OR($L246='112'!$I$6,$M246='112'!$I$6))),"x",""))</f>
        <v/>
      </c>
      <c r="S246" s="50" t="str">
        <f>IF(ISERROR(FIND('112'!$M$9,G246,1)),"",IF((AND(LEFT(G246,2)=LEFT('112'!$M$9,2),B246&lt;'112'!$N$8,$L246='112'!$I$6)),"x",""))</f>
        <v/>
      </c>
      <c r="T246" s="50" t="str">
        <f>IF(ISERROR(FIND('112'!$M$9,G246,1)),"",IF((AND(RIGHT(G246,2)=RIGHT('112'!$M$9,2),B246&lt;'112'!$N$8,$M246='112'!$I$6)),"x",""))</f>
        <v/>
      </c>
      <c r="U246" s="50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0" t="str">
        <f>IF(OR(TH!L246=TH!$V$7,M246=TH!$V$7),"x","")</f>
        <v/>
      </c>
      <c r="W246" s="50" t="str">
        <f>IF(AND(B246&gt;='IN-NX'!$P$3,B246&lt;='IN-NX'!$Q$3,'IN-NX'!$D$7=D246,OR(LEFT(L246,2)="15",AND(LEFT(M246,2)&lt;&gt;"15",LEFT(M246,2)&lt;&gt;"33"))),"x","")</f>
        <v/>
      </c>
      <c r="X246" s="50" t="str">
        <f>IF(AND(OR(LEFT(TH!L246,2)="15",LEFT(TH!M246,2)="15"),'152-CT'!$J$8=TH!F246),"x","")</f>
        <v/>
      </c>
      <c r="Y246" s="50" t="str">
        <f>IF(AND(OR(LEFT(TH!L246,2)="15",LEFT(TH!M246,2)="15"),TK!$E$7=TH!F246),"x","")</f>
        <v/>
      </c>
      <c r="Z246" s="50" t="str">
        <f>IF(AND(B246&lt;=NKC!$N$8,B246&gt;=NKC!$M$8),"x","")</f>
        <v/>
      </c>
      <c r="AA246" s="845"/>
      <c r="AB246" s="581"/>
    </row>
    <row r="247" spans="1:30" s="201" customFormat="1" ht="15.75" customHeight="1">
      <c r="A247" s="846" t="str">
        <f>IF(B247&lt;&gt;"",IF(AND(B247&gt;=_TM1,B247&lt;=_TM2,OR(TH!L247="1111",TH!M247="1111")),TH!D247,""),"")</f>
        <v/>
      </c>
      <c r="B247" s="36" t="str">
        <f t="shared" si="7"/>
        <v/>
      </c>
      <c r="C247" s="187"/>
      <c r="D247" s="187"/>
      <c r="E247" s="187"/>
      <c r="F247" s="188"/>
      <c r="G247" s="854"/>
      <c r="H247" s="189"/>
      <c r="I247" s="249"/>
      <c r="J247" s="249"/>
      <c r="K247" s="589"/>
      <c r="L247" s="590"/>
      <c r="M247" s="590"/>
      <c r="N247" s="50" t="str">
        <f>IF(AND('331-CT'!$E$7=TH!H247,OR(L247="331",M247="331")),"331",IF(AND(OR(L247="131",M247="131"),H247='131-CT'!$E$7),"131",""))</f>
        <v/>
      </c>
      <c r="O247" s="50" t="str">
        <f>IF(AND($B247&gt;='111'!$N$11,$B247&lt;='111'!$O$11,OR($L247=$O$7,$M247=$O$7)),"x","")</f>
        <v/>
      </c>
      <c r="P247" s="50" t="str">
        <f>IF(AND($L247=$O$7,$B247&lt;'111'!$N$11),"x","")</f>
        <v/>
      </c>
      <c r="Q247" s="50" t="str">
        <f>IF(AND($M247=$O$7,$B247&lt;'111'!$N$11),"x","")</f>
        <v/>
      </c>
      <c r="R247" s="50" t="str">
        <f>IF(ISERROR(FIND('112'!$M$9,G247,1)),"",IF((AND(FIND('112'!$M$9,G247,1)&gt;=1,$B247&gt;='112'!$N$8,$B247&lt;='112'!$O$8,OR($L247='112'!$I$6,$M247='112'!$I$6))),"x",""))</f>
        <v/>
      </c>
      <c r="S247" s="50" t="str">
        <f>IF(ISERROR(FIND('112'!$M$9,G247,1)),"",IF((AND(LEFT(G247,2)=LEFT('112'!$M$9,2),B247&lt;'112'!$N$8,$L247='112'!$I$6)),"x",""))</f>
        <v/>
      </c>
      <c r="T247" s="50" t="str">
        <f>IF(ISERROR(FIND('112'!$M$9,G247,1)),"",IF((AND(RIGHT(G247,2)=RIGHT('112'!$M$9,2),B247&lt;'112'!$N$8,$M247='112'!$I$6)),"x",""))</f>
        <v/>
      </c>
      <c r="U247" s="50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0" t="str">
        <f>IF(OR(TH!L247=TH!$V$7,M247=TH!$V$7),"x","")</f>
        <v/>
      </c>
      <c r="W247" s="50" t="str">
        <f>IF(AND(B247&gt;='IN-NX'!$P$3,B247&lt;='IN-NX'!$Q$3,'IN-NX'!$D$7=D247,OR(LEFT(L247,2)="15",AND(LEFT(M247,2)&lt;&gt;"15",LEFT(M247,2)&lt;&gt;"33"))),"x","")</f>
        <v/>
      </c>
      <c r="X247" s="50" t="str">
        <f>IF(AND(OR(LEFT(TH!L247,2)="15",LEFT(TH!M247,2)="15"),'152-CT'!$J$8=TH!F247),"x","")</f>
        <v/>
      </c>
      <c r="Y247" s="50" t="str">
        <f>IF(AND(OR(LEFT(TH!L247,2)="15",LEFT(TH!M247,2)="15"),TK!$E$7=TH!F247),"x","")</f>
        <v/>
      </c>
      <c r="Z247" s="50" t="str">
        <f>IF(AND(B247&lt;=NKC!$N$8,B247&gt;=NKC!$M$8),"x","")</f>
        <v/>
      </c>
      <c r="AA247" s="845"/>
      <c r="AB247" s="581"/>
    </row>
    <row r="248" spans="1:30" s="201" customFormat="1" ht="15.75" customHeight="1">
      <c r="A248" s="846" t="str">
        <f>IF(B248&lt;&gt;"",IF(AND(B248&gt;=_TM1,B248&lt;=_TM2,OR(TH!L248="1111",TH!M248="1111")),TH!D248,""),"")</f>
        <v/>
      </c>
      <c r="B248" s="36" t="str">
        <f t="shared" si="7"/>
        <v/>
      </c>
      <c r="C248" s="187"/>
      <c r="D248" s="187"/>
      <c r="E248" s="187"/>
      <c r="F248" s="188"/>
      <c r="G248" s="854"/>
      <c r="H248" s="189"/>
      <c r="I248" s="249"/>
      <c r="J248" s="249"/>
      <c r="K248" s="589"/>
      <c r="L248" s="590"/>
      <c r="M248" s="590"/>
      <c r="N248" s="50" t="str">
        <f>IF(AND('331-CT'!$E$7=TH!H248,OR(L248="331",M248="331")),"331",IF(AND(OR(L248="131",M248="131"),H248='131-CT'!$E$7),"131",""))</f>
        <v/>
      </c>
      <c r="O248" s="50" t="str">
        <f>IF(AND($B248&gt;='111'!$N$11,$B248&lt;='111'!$O$11,OR($L248=$O$7,$M248=$O$7)),"x","")</f>
        <v/>
      </c>
      <c r="P248" s="50" t="str">
        <f>IF(AND($L248=$O$7,$B248&lt;'111'!$N$11),"x","")</f>
        <v/>
      </c>
      <c r="Q248" s="50" t="str">
        <f>IF(AND($M248=$O$7,$B248&lt;'111'!$N$11),"x","")</f>
        <v/>
      </c>
      <c r="R248" s="50" t="str">
        <f>IF(ISERROR(FIND('112'!$M$9,G248,1)),"",IF((AND(FIND('112'!$M$9,G248,1)&gt;=1,$B248&gt;='112'!$N$8,$B248&lt;='112'!$O$8,OR($L248='112'!$I$6,$M248='112'!$I$6))),"x",""))</f>
        <v/>
      </c>
      <c r="S248" s="50" t="str">
        <f>IF(ISERROR(FIND('112'!$M$9,G248,1)),"",IF((AND(LEFT(G248,2)=LEFT('112'!$M$9,2),B248&lt;'112'!$N$8,$L248='112'!$I$6)),"x",""))</f>
        <v/>
      </c>
      <c r="T248" s="50" t="str">
        <f>IF(ISERROR(FIND('112'!$M$9,G248,1)),"",IF((AND(RIGHT(G248,2)=RIGHT('112'!$M$9,2),B248&lt;'112'!$N$8,$M248='112'!$I$6)),"x",""))</f>
        <v/>
      </c>
      <c r="U248" s="50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0" t="str">
        <f>IF(OR(TH!L248=TH!$V$7,M248=TH!$V$7),"x","")</f>
        <v/>
      </c>
      <c r="W248" s="50" t="str">
        <f>IF(AND(B248&gt;='IN-NX'!$P$3,B248&lt;='IN-NX'!$Q$3,'IN-NX'!$D$7=D248,OR(LEFT(L248,2)="15",AND(LEFT(M248,2)&lt;&gt;"15",LEFT(M248,2)&lt;&gt;"33"))),"x","")</f>
        <v/>
      </c>
      <c r="X248" s="50" t="str">
        <f>IF(AND(OR(LEFT(TH!L248,2)="15",LEFT(TH!M248,2)="15"),'152-CT'!$J$8=TH!F248),"x","")</f>
        <v/>
      </c>
      <c r="Y248" s="50" t="str">
        <f>IF(AND(OR(LEFT(TH!L248,2)="15",LEFT(TH!M248,2)="15"),TK!$E$7=TH!F248),"x","")</f>
        <v/>
      </c>
      <c r="Z248" s="50" t="str">
        <f>IF(AND(B248&lt;=NKC!$N$8,B248&gt;=NKC!$M$8),"x","")</f>
        <v/>
      </c>
      <c r="AA248" s="845"/>
      <c r="AB248" s="581"/>
    </row>
    <row r="249" spans="1:30" s="201" customFormat="1" ht="15.75" customHeight="1">
      <c r="A249" s="846" t="str">
        <f>IF(B249&lt;&gt;"",IF(AND(B249&gt;=_TM1,B249&lt;=_TM2,OR(TH!L249="1111",TH!M249="1111")),TH!D249,""),"")</f>
        <v/>
      </c>
      <c r="B249" s="36" t="str">
        <f t="shared" si="7"/>
        <v/>
      </c>
      <c r="C249" s="187"/>
      <c r="D249" s="187"/>
      <c r="E249" s="187"/>
      <c r="F249" s="188"/>
      <c r="G249" s="854"/>
      <c r="H249" s="189"/>
      <c r="I249" s="249"/>
      <c r="J249" s="249"/>
      <c r="K249" s="589"/>
      <c r="L249" s="590"/>
      <c r="M249" s="590"/>
      <c r="N249" s="50" t="str">
        <f>IF(AND('331-CT'!$E$7=TH!H249,OR(L249="331",M249="331")),"331",IF(AND(OR(L249="131",M249="131"),H249='131-CT'!$E$7),"131",""))</f>
        <v/>
      </c>
      <c r="O249" s="50" t="str">
        <f>IF(AND($B249&gt;='111'!$N$11,$B249&lt;='111'!$O$11,OR($L249=$O$7,$M249=$O$7)),"x","")</f>
        <v/>
      </c>
      <c r="P249" s="50" t="str">
        <f>IF(AND($L249=$O$7,$B249&lt;'111'!$N$11),"x","")</f>
        <v/>
      </c>
      <c r="Q249" s="50" t="str">
        <f>IF(AND($M249=$O$7,$B249&lt;'111'!$N$11),"x","")</f>
        <v/>
      </c>
      <c r="R249" s="50" t="str">
        <f>IF(ISERROR(FIND('112'!$M$9,G249,1)),"",IF((AND(FIND('112'!$M$9,G249,1)&gt;=1,$B249&gt;='112'!$N$8,$B249&lt;='112'!$O$8,OR($L249='112'!$I$6,$M249='112'!$I$6))),"x",""))</f>
        <v/>
      </c>
      <c r="S249" s="50" t="str">
        <f>IF(ISERROR(FIND('112'!$M$9,G249,1)),"",IF((AND(LEFT(G249,2)=LEFT('112'!$M$9,2),B249&lt;'112'!$N$8,$L249='112'!$I$6)),"x",""))</f>
        <v/>
      </c>
      <c r="T249" s="50" t="str">
        <f>IF(ISERROR(FIND('112'!$M$9,G249,1)),"",IF((AND(RIGHT(G249,2)=RIGHT('112'!$M$9,2),B249&lt;'112'!$N$8,$M249='112'!$I$6)),"x",""))</f>
        <v/>
      </c>
      <c r="U249" s="50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0" t="str">
        <f>IF(OR(TH!L249=TH!$V$7,M249=TH!$V$7),"x","")</f>
        <v/>
      </c>
      <c r="W249" s="50" t="str">
        <f>IF(AND(B249&gt;='IN-NX'!$P$3,B249&lt;='IN-NX'!$Q$3,'IN-NX'!$D$7=D249,OR(LEFT(L249,2)="15",AND(LEFT(M249,2)&lt;&gt;"15",LEFT(M249,2)&lt;&gt;"33"))),"x","")</f>
        <v/>
      </c>
      <c r="X249" s="50" t="str">
        <f>IF(AND(OR(LEFT(TH!L249,2)="15",LEFT(TH!M249,2)="15"),'152-CT'!$J$8=TH!F249),"x","")</f>
        <v/>
      </c>
      <c r="Y249" s="50" t="str">
        <f>IF(AND(OR(LEFT(TH!L249,2)="15",LEFT(TH!M249,2)="15"),TK!$E$7=TH!F249),"x","")</f>
        <v/>
      </c>
      <c r="Z249" s="50" t="str">
        <f>IF(AND(B249&lt;=NKC!$N$8,B249&gt;=NKC!$M$8),"x","")</f>
        <v/>
      </c>
      <c r="AA249" s="845"/>
      <c r="AB249" s="581"/>
    </row>
    <row r="250" spans="1:30" s="201" customFormat="1" ht="15.75" customHeight="1">
      <c r="A250" s="846" t="str">
        <f>IF(B250&lt;&gt;"",IF(AND(B250&gt;=_TM1,B250&lt;=_TM2,OR(TH!L250="1111",TH!M250="1111")),TH!D250,""),"")</f>
        <v/>
      </c>
      <c r="B250" s="36" t="str">
        <f t="shared" si="7"/>
        <v/>
      </c>
      <c r="C250" s="187"/>
      <c r="D250" s="187"/>
      <c r="E250" s="187"/>
      <c r="F250" s="188"/>
      <c r="G250" s="854"/>
      <c r="H250" s="189"/>
      <c r="I250" s="249"/>
      <c r="J250" s="249"/>
      <c r="K250" s="589"/>
      <c r="L250" s="590"/>
      <c r="M250" s="590"/>
      <c r="N250" s="50" t="str">
        <f>IF(AND('331-CT'!$E$7=TH!H250,OR(L250="331",M250="331")),"331",IF(AND(OR(L250="131",M250="131"),H250='131-CT'!$E$7),"131",""))</f>
        <v/>
      </c>
      <c r="O250" s="50" t="str">
        <f>IF(AND($B250&gt;='111'!$N$11,$B250&lt;='111'!$O$11,OR($L250=$O$7,$M250=$O$7)),"x","")</f>
        <v/>
      </c>
      <c r="P250" s="50" t="str">
        <f>IF(AND($L250=$O$7,$B250&lt;'111'!$N$11),"x","")</f>
        <v/>
      </c>
      <c r="Q250" s="50" t="str">
        <f>IF(AND($M250=$O$7,$B250&lt;'111'!$N$11),"x","")</f>
        <v/>
      </c>
      <c r="R250" s="50" t="str">
        <f>IF(ISERROR(FIND('112'!$M$9,G250,1)),"",IF((AND(FIND('112'!$M$9,G250,1)&gt;=1,$B250&gt;='112'!$N$8,$B250&lt;='112'!$O$8,OR($L250='112'!$I$6,$M250='112'!$I$6))),"x",""))</f>
        <v/>
      </c>
      <c r="S250" s="50" t="str">
        <f>IF(ISERROR(FIND('112'!$M$9,G250,1)),"",IF((AND(LEFT(G250,2)=LEFT('112'!$M$9,2),B250&lt;'112'!$N$8,$L250='112'!$I$6)),"x",""))</f>
        <v/>
      </c>
      <c r="T250" s="50" t="str">
        <f>IF(ISERROR(FIND('112'!$M$9,G250,1)),"",IF((AND(RIGHT(G250,2)=RIGHT('112'!$M$9,2),B250&lt;'112'!$N$8,$M250='112'!$I$6)),"x",""))</f>
        <v/>
      </c>
      <c r="U250" s="50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0" t="str">
        <f>IF(OR(TH!L250=TH!$V$7,M250=TH!$V$7),"x","")</f>
        <v/>
      </c>
      <c r="W250" s="50" t="str">
        <f>IF(AND(B250&gt;='IN-NX'!$P$3,B250&lt;='IN-NX'!$Q$3,'IN-NX'!$D$7=D250,OR(LEFT(L250,2)="15",AND(LEFT(M250,2)&lt;&gt;"15",LEFT(M250,2)&lt;&gt;"33"))),"x","")</f>
        <v/>
      </c>
      <c r="X250" s="50" t="str">
        <f>IF(AND(OR(LEFT(TH!L250,2)="15",LEFT(TH!M250,2)="15"),'152-CT'!$J$8=TH!F250),"x","")</f>
        <v/>
      </c>
      <c r="Y250" s="50" t="str">
        <f>IF(AND(OR(LEFT(TH!L250,2)="15",LEFT(TH!M250,2)="15"),TK!$E$7=TH!F250),"x","")</f>
        <v/>
      </c>
      <c r="Z250" s="50" t="str">
        <f>IF(AND(B250&lt;=NKC!$N$8,B250&gt;=NKC!$M$8),"x","")</f>
        <v/>
      </c>
      <c r="AA250" s="845"/>
      <c r="AB250" s="581"/>
    </row>
    <row r="251" spans="1:30" s="201" customFormat="1" ht="15.75" customHeight="1">
      <c r="A251" s="846" t="str">
        <f>IF(B251&lt;&gt;"",IF(AND(B251&gt;=_TM1,B251&lt;=_TM2,OR(TH!L251="1111",TH!M251="1111")),TH!D251,""),"")</f>
        <v/>
      </c>
      <c r="B251" s="36" t="str">
        <f t="shared" si="7"/>
        <v/>
      </c>
      <c r="C251" s="187"/>
      <c r="D251" s="187"/>
      <c r="E251" s="187"/>
      <c r="F251" s="188"/>
      <c r="G251" s="854"/>
      <c r="H251" s="189"/>
      <c r="I251" s="249"/>
      <c r="J251" s="249"/>
      <c r="K251" s="589"/>
      <c r="L251" s="590"/>
      <c r="M251" s="590"/>
      <c r="N251" s="50" t="str">
        <f>IF(AND('331-CT'!$E$7=TH!H251,OR(L251="331",M251="331")),"331",IF(AND(OR(L251="131",M251="131"),H251='131-CT'!$E$7),"131",""))</f>
        <v/>
      </c>
      <c r="O251" s="50" t="str">
        <f>IF(AND($B251&gt;='111'!$N$11,$B251&lt;='111'!$O$11,OR($L251=$O$7,$M251=$O$7)),"x","")</f>
        <v/>
      </c>
      <c r="P251" s="50" t="str">
        <f>IF(AND($L251=$O$7,$B251&lt;'111'!$N$11),"x","")</f>
        <v/>
      </c>
      <c r="Q251" s="50" t="str">
        <f>IF(AND($M251=$O$7,$B251&lt;'111'!$N$11),"x","")</f>
        <v/>
      </c>
      <c r="R251" s="50" t="str">
        <f>IF(ISERROR(FIND('112'!$M$9,G251,1)),"",IF((AND(FIND('112'!$M$9,G251,1)&gt;=1,$B251&gt;='112'!$N$8,$B251&lt;='112'!$O$8,OR($L251='112'!$I$6,$M251='112'!$I$6))),"x",""))</f>
        <v/>
      </c>
      <c r="S251" s="50" t="str">
        <f>IF(ISERROR(FIND('112'!$M$9,G251,1)),"",IF((AND(LEFT(G251,2)=LEFT('112'!$M$9,2),B251&lt;'112'!$N$8,$L251='112'!$I$6)),"x",""))</f>
        <v/>
      </c>
      <c r="T251" s="50" t="str">
        <f>IF(ISERROR(FIND('112'!$M$9,G251,1)),"",IF((AND(RIGHT(G251,2)=RIGHT('112'!$M$9,2),B251&lt;'112'!$N$8,$M251='112'!$I$6)),"x",""))</f>
        <v/>
      </c>
      <c r="U251" s="50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0" t="str">
        <f>IF(OR(TH!L251=TH!$V$7,M251=TH!$V$7),"x","")</f>
        <v/>
      </c>
      <c r="W251" s="50" t="str">
        <f>IF(AND(B251&gt;='IN-NX'!$P$3,B251&lt;='IN-NX'!$Q$3,'IN-NX'!$D$7=D251,OR(LEFT(L251,2)="15",AND(LEFT(M251,2)&lt;&gt;"15",LEFT(M251,2)&lt;&gt;"33"))),"x","")</f>
        <v/>
      </c>
      <c r="X251" s="50" t="str">
        <f>IF(AND(OR(LEFT(TH!L251,2)="15",LEFT(TH!M251,2)="15"),'152-CT'!$J$8=TH!F251),"x","")</f>
        <v/>
      </c>
      <c r="Y251" s="50" t="str">
        <f>IF(AND(OR(LEFT(TH!L251,2)="15",LEFT(TH!M251,2)="15"),TK!$E$7=TH!F251),"x","")</f>
        <v/>
      </c>
      <c r="Z251" s="50" t="str">
        <f>IF(AND(B251&lt;=NKC!$N$8,B251&gt;=NKC!$M$8),"x","")</f>
        <v/>
      </c>
      <c r="AA251" s="845"/>
      <c r="AB251" s="581"/>
    </row>
    <row r="252" spans="1:30" s="201" customFormat="1" ht="15.75" customHeight="1">
      <c r="A252" s="846" t="str">
        <f>IF(B252&lt;&gt;"",IF(AND(B252&gt;=_TM1,B252&lt;=_TM2,OR(TH!L252="1111",TH!M252="1111")),TH!D252,""),"")</f>
        <v/>
      </c>
      <c r="B252" s="36" t="str">
        <f t="shared" si="7"/>
        <v/>
      </c>
      <c r="C252" s="187"/>
      <c r="D252" s="187"/>
      <c r="E252" s="187"/>
      <c r="F252" s="188"/>
      <c r="G252" s="854"/>
      <c r="H252" s="189"/>
      <c r="I252" s="249"/>
      <c r="J252" s="249"/>
      <c r="K252" s="589"/>
      <c r="L252" s="590"/>
      <c r="M252" s="590"/>
      <c r="N252" s="50" t="str">
        <f>IF(AND('331-CT'!$E$7=TH!H252,OR(L252="331",M252="331")),"331",IF(AND(OR(L252="131",M252="131"),H252='131-CT'!$E$7),"131",""))</f>
        <v/>
      </c>
      <c r="O252" s="50" t="str">
        <f>IF(AND($B252&gt;='111'!$N$11,$B252&lt;='111'!$O$11,OR($L252=$O$7,$M252=$O$7)),"x","")</f>
        <v/>
      </c>
      <c r="P252" s="50" t="str">
        <f>IF(AND($L252=$O$7,$B252&lt;'111'!$N$11),"x","")</f>
        <v/>
      </c>
      <c r="Q252" s="50" t="str">
        <f>IF(AND($M252=$O$7,$B252&lt;'111'!$N$11),"x","")</f>
        <v/>
      </c>
      <c r="R252" s="50" t="str">
        <f>IF(ISERROR(FIND('112'!$M$9,G252,1)),"",IF((AND(FIND('112'!$M$9,G252,1)&gt;=1,$B252&gt;='112'!$N$8,$B252&lt;='112'!$O$8,OR($L252='112'!$I$6,$M252='112'!$I$6))),"x",""))</f>
        <v/>
      </c>
      <c r="S252" s="50" t="str">
        <f>IF(ISERROR(FIND('112'!$M$9,G252,1)),"",IF((AND(LEFT(G252,2)=LEFT('112'!$M$9,2),B252&lt;'112'!$N$8,$L252='112'!$I$6)),"x",""))</f>
        <v/>
      </c>
      <c r="T252" s="50" t="str">
        <f>IF(ISERROR(FIND('112'!$M$9,G252,1)),"",IF((AND(RIGHT(G252,2)=RIGHT('112'!$M$9,2),B252&lt;'112'!$N$8,$M252='112'!$I$6)),"x",""))</f>
        <v/>
      </c>
      <c r="U252" s="50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0" t="str">
        <f>IF(OR(TH!L252=TH!$V$7,M252=TH!$V$7),"x","")</f>
        <v/>
      </c>
      <c r="W252" s="50" t="str">
        <f>IF(AND(B252&gt;='IN-NX'!$P$3,B252&lt;='IN-NX'!$Q$3,'IN-NX'!$D$7=D252,OR(LEFT(L252,2)="15",AND(LEFT(M252,2)&lt;&gt;"15",LEFT(M252,2)&lt;&gt;"33"))),"x","")</f>
        <v/>
      </c>
      <c r="X252" s="50" t="str">
        <f>IF(AND(OR(LEFT(TH!L252,2)="15",LEFT(TH!M252,2)="15"),'152-CT'!$J$8=TH!F252),"x","")</f>
        <v/>
      </c>
      <c r="Y252" s="50" t="str">
        <f>IF(AND(OR(LEFT(TH!L252,2)="15",LEFT(TH!M252,2)="15"),TK!$E$7=TH!F252),"x","")</f>
        <v/>
      </c>
      <c r="Z252" s="50" t="str">
        <f>IF(AND(B252&lt;=NKC!$N$8,B252&gt;=NKC!$M$8),"x","")</f>
        <v/>
      </c>
      <c r="AA252" s="845"/>
      <c r="AB252" s="581"/>
      <c r="AC252" s="581"/>
      <c r="AD252" s="581"/>
    </row>
    <row r="253" spans="1:30" s="201" customFormat="1" ht="15.75" customHeight="1">
      <c r="A253" s="846" t="str">
        <f>IF(B253&lt;&gt;"",IF(AND(B253&gt;=_TM1,B253&lt;=_TM2,OR(TH!L253="1111",TH!M253="1111")),TH!D253,""),"")</f>
        <v/>
      </c>
      <c r="B253" s="36" t="str">
        <f t="shared" si="7"/>
        <v/>
      </c>
      <c r="C253" s="187"/>
      <c r="D253" s="187"/>
      <c r="E253" s="187"/>
      <c r="F253" s="188"/>
      <c r="G253" s="854"/>
      <c r="H253" s="189"/>
      <c r="I253" s="249"/>
      <c r="J253" s="249"/>
      <c r="K253" s="589"/>
      <c r="L253" s="590"/>
      <c r="M253" s="590"/>
      <c r="N253" s="50" t="str">
        <f>IF(AND('331-CT'!$E$7=TH!H253,OR(L253="331",M253="331")),"331",IF(AND(OR(L253="131",M253="131"),H253='131-CT'!$E$7),"131",""))</f>
        <v/>
      </c>
      <c r="O253" s="50" t="str">
        <f>IF(AND($B253&gt;='111'!$N$11,$B253&lt;='111'!$O$11,OR($L253=$O$7,$M253=$O$7)),"x","")</f>
        <v/>
      </c>
      <c r="P253" s="50" t="str">
        <f>IF(AND($L253=$O$7,$B253&lt;'111'!$N$11),"x","")</f>
        <v/>
      </c>
      <c r="Q253" s="50" t="str">
        <f>IF(AND($M253=$O$7,$B253&lt;'111'!$N$11),"x","")</f>
        <v/>
      </c>
      <c r="R253" s="50" t="str">
        <f>IF(ISERROR(FIND('112'!$M$9,G253,1)),"",IF((AND(FIND('112'!$M$9,G253,1)&gt;=1,$B253&gt;='112'!$N$8,$B253&lt;='112'!$O$8,OR($L253='112'!$I$6,$M253='112'!$I$6))),"x",""))</f>
        <v/>
      </c>
      <c r="S253" s="50" t="str">
        <f>IF(ISERROR(FIND('112'!$M$9,G253,1)),"",IF((AND(LEFT(G253,2)=LEFT('112'!$M$9,2),B253&lt;'112'!$N$8,$L253='112'!$I$6)),"x",""))</f>
        <v/>
      </c>
      <c r="T253" s="50" t="str">
        <f>IF(ISERROR(FIND('112'!$M$9,G253,1)),"",IF((AND(RIGHT(G253,2)=RIGHT('112'!$M$9,2),B253&lt;'112'!$N$8,$M253='112'!$I$6)),"x",""))</f>
        <v/>
      </c>
      <c r="U253" s="50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0" t="str">
        <f>IF(OR(TH!L253=TH!$V$7,M253=TH!$V$7),"x","")</f>
        <v/>
      </c>
      <c r="W253" s="50" t="str">
        <f>IF(AND(B253&gt;='IN-NX'!$P$3,B253&lt;='IN-NX'!$Q$3,'IN-NX'!$D$7=D253,OR(LEFT(L253,2)="15",AND(LEFT(M253,2)&lt;&gt;"15",LEFT(M253,2)&lt;&gt;"33"))),"x","")</f>
        <v/>
      </c>
      <c r="X253" s="50" t="str">
        <f>IF(AND(OR(LEFT(TH!L253,2)="15",LEFT(TH!M253,2)="15"),'152-CT'!$J$8=TH!F253),"x","")</f>
        <v/>
      </c>
      <c r="Y253" s="50" t="str">
        <f>IF(AND(OR(LEFT(TH!L253,2)="15",LEFT(TH!M253,2)="15"),TK!$E$7=TH!F253),"x","")</f>
        <v/>
      </c>
      <c r="Z253" s="50" t="str">
        <f>IF(AND(B253&lt;=NKC!$N$8,B253&gt;=NKC!$M$8),"x","")</f>
        <v/>
      </c>
      <c r="AA253" s="845"/>
      <c r="AB253" s="581"/>
      <c r="AC253" s="581"/>
    </row>
    <row r="254" spans="1:30" s="201" customFormat="1" ht="15.75" customHeight="1">
      <c r="A254" s="846" t="str">
        <f>IF(B254&lt;&gt;"",IF(AND(B254&gt;=_TM1,B254&lt;=_TM2,OR(TH!L254="1111",TH!M254="1111")),TH!D254,""),"")</f>
        <v/>
      </c>
      <c r="B254" s="36" t="str">
        <f t="shared" si="7"/>
        <v/>
      </c>
      <c r="C254" s="187"/>
      <c r="D254" s="187"/>
      <c r="E254" s="187"/>
      <c r="F254" s="188"/>
      <c r="G254" s="854"/>
      <c r="H254" s="189"/>
      <c r="I254" s="249"/>
      <c r="J254" s="249"/>
      <c r="K254" s="589"/>
      <c r="L254" s="590"/>
      <c r="M254" s="590"/>
      <c r="N254" s="50" t="str">
        <f>IF(AND('331-CT'!$E$7=TH!H254,OR(L254="331",M254="331")),"331",IF(AND(OR(L254="131",M254="131"),H254='131-CT'!$E$7),"131",""))</f>
        <v/>
      </c>
      <c r="O254" s="50" t="str">
        <f>IF(AND($B254&gt;='111'!$N$11,$B254&lt;='111'!$O$11,OR($L254=$O$7,$M254=$O$7)),"x","")</f>
        <v/>
      </c>
      <c r="P254" s="50" t="str">
        <f>IF(AND($L254=$O$7,$B254&lt;'111'!$N$11),"x","")</f>
        <v/>
      </c>
      <c r="Q254" s="50" t="str">
        <f>IF(AND($M254=$O$7,$B254&lt;'111'!$N$11),"x","")</f>
        <v/>
      </c>
      <c r="R254" s="50" t="str">
        <f>IF(ISERROR(FIND('112'!$M$9,G254,1)),"",IF((AND(FIND('112'!$M$9,G254,1)&gt;=1,$B254&gt;='112'!$N$8,$B254&lt;='112'!$O$8,OR($L254='112'!$I$6,$M254='112'!$I$6))),"x",""))</f>
        <v/>
      </c>
      <c r="S254" s="50" t="str">
        <f>IF(ISERROR(FIND('112'!$M$9,G254,1)),"",IF((AND(LEFT(G254,2)=LEFT('112'!$M$9,2),B254&lt;'112'!$N$8,$L254='112'!$I$6)),"x",""))</f>
        <v/>
      </c>
      <c r="T254" s="50" t="str">
        <f>IF(ISERROR(FIND('112'!$M$9,G254,1)),"",IF((AND(RIGHT(G254,2)=RIGHT('112'!$M$9,2),B254&lt;'112'!$N$8,$M254='112'!$I$6)),"x",""))</f>
        <v/>
      </c>
      <c r="U254" s="50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0" t="str">
        <f>IF(OR(TH!L254=TH!$V$7,M254=TH!$V$7),"x","")</f>
        <v/>
      </c>
      <c r="W254" s="50" t="str">
        <f>IF(AND(B254&gt;='IN-NX'!$P$3,B254&lt;='IN-NX'!$Q$3,'IN-NX'!$D$7=D254,OR(LEFT(L254,2)="15",AND(LEFT(M254,2)&lt;&gt;"15",LEFT(M254,2)&lt;&gt;"33"))),"x","")</f>
        <v/>
      </c>
      <c r="X254" s="50" t="str">
        <f>IF(AND(OR(LEFT(TH!L254,2)="15",LEFT(TH!M254,2)="15"),'152-CT'!$J$8=TH!F254),"x","")</f>
        <v/>
      </c>
      <c r="Y254" s="50" t="str">
        <f>IF(AND(OR(LEFT(TH!L254,2)="15",LEFT(TH!M254,2)="15"),TK!$E$7=TH!F254),"x","")</f>
        <v/>
      </c>
      <c r="Z254" s="50" t="str">
        <f>IF(AND(B254&lt;=NKC!$N$8,B254&gt;=NKC!$M$8),"x","")</f>
        <v/>
      </c>
      <c r="AA254" s="845"/>
      <c r="AB254" s="581"/>
      <c r="AC254" s="581"/>
      <c r="AD254" s="581"/>
    </row>
    <row r="255" spans="1:30" s="201" customFormat="1" ht="15.75" customHeight="1">
      <c r="A255" s="846" t="str">
        <f>IF(B255&lt;&gt;"",IF(AND(B255&gt;=_TM1,B255&lt;=_TM2,OR(TH!L255="1111",TH!M255="1111")),TH!D255,""),"")</f>
        <v/>
      </c>
      <c r="B255" s="36" t="str">
        <f t="shared" si="7"/>
        <v/>
      </c>
      <c r="C255" s="187"/>
      <c r="D255" s="187"/>
      <c r="E255" s="187"/>
      <c r="F255" s="188"/>
      <c r="G255" s="854"/>
      <c r="H255" s="189"/>
      <c r="I255" s="249"/>
      <c r="J255" s="249"/>
      <c r="K255" s="589"/>
      <c r="L255" s="590"/>
      <c r="M255" s="590"/>
      <c r="N255" s="50" t="str">
        <f>IF(AND('331-CT'!$E$7=TH!H255,OR(L255="331",M255="331")),"331",IF(AND(OR(L255="131",M255="131"),H255='131-CT'!$E$7),"131",""))</f>
        <v/>
      </c>
      <c r="O255" s="50" t="str">
        <f>IF(AND($B255&gt;='111'!$N$11,$B255&lt;='111'!$O$11,OR($L255=$O$7,$M255=$O$7)),"x","")</f>
        <v/>
      </c>
      <c r="P255" s="50" t="str">
        <f>IF(AND($L255=$O$7,$B255&lt;'111'!$N$11),"x","")</f>
        <v/>
      </c>
      <c r="Q255" s="50" t="str">
        <f>IF(AND($M255=$O$7,$B255&lt;'111'!$N$11),"x","")</f>
        <v/>
      </c>
      <c r="R255" s="50" t="str">
        <f>IF(ISERROR(FIND('112'!$M$9,G255,1)),"",IF((AND(FIND('112'!$M$9,G255,1)&gt;=1,$B255&gt;='112'!$N$8,$B255&lt;='112'!$O$8,OR($L255='112'!$I$6,$M255='112'!$I$6))),"x",""))</f>
        <v/>
      </c>
      <c r="S255" s="50" t="str">
        <f>IF(ISERROR(FIND('112'!$M$9,G255,1)),"",IF((AND(LEFT(G255,2)=LEFT('112'!$M$9,2),B255&lt;'112'!$N$8,$L255='112'!$I$6)),"x",""))</f>
        <v/>
      </c>
      <c r="T255" s="50" t="str">
        <f>IF(ISERROR(FIND('112'!$M$9,G255,1)),"",IF((AND(RIGHT(G255,2)=RIGHT('112'!$M$9,2),B255&lt;'112'!$N$8,$M255='112'!$I$6)),"x",""))</f>
        <v/>
      </c>
      <c r="U255" s="50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0" t="str">
        <f>IF(OR(TH!L255=TH!$V$7,M255=TH!$V$7),"x","")</f>
        <v/>
      </c>
      <c r="W255" s="50" t="str">
        <f>IF(AND(B255&gt;='IN-NX'!$P$3,B255&lt;='IN-NX'!$Q$3,'IN-NX'!$D$7=D255,OR(LEFT(L255,2)="15",AND(LEFT(M255,2)&lt;&gt;"15",LEFT(M255,2)&lt;&gt;"33"))),"x","")</f>
        <v/>
      </c>
      <c r="X255" s="50" t="str">
        <f>IF(AND(OR(LEFT(TH!L255,2)="15",LEFT(TH!M255,2)="15"),'152-CT'!$J$8=TH!F255),"x","")</f>
        <v/>
      </c>
      <c r="Y255" s="50" t="str">
        <f>IF(AND(OR(LEFT(TH!L255,2)="15",LEFT(TH!M255,2)="15"),TK!$E$7=TH!F255),"x","")</f>
        <v/>
      </c>
      <c r="Z255" s="50" t="str">
        <f>IF(AND(B255&lt;=NKC!$N$8,B255&gt;=NKC!$M$8),"x","")</f>
        <v/>
      </c>
      <c r="AA255" s="845"/>
      <c r="AB255" s="581"/>
    </row>
    <row r="256" spans="1:30" s="201" customFormat="1" ht="15.75" customHeight="1">
      <c r="A256" s="846" t="str">
        <f>IF(B256&lt;&gt;"",IF(AND(B256&gt;=_TM1,B256&lt;=_TM2,OR(TH!L256="1111",TH!M256="1111")),TH!D256,""),"")</f>
        <v/>
      </c>
      <c r="B256" s="36" t="str">
        <f t="shared" si="7"/>
        <v/>
      </c>
      <c r="C256" s="187"/>
      <c r="D256" s="187"/>
      <c r="E256" s="187"/>
      <c r="F256" s="188"/>
      <c r="G256" s="854"/>
      <c r="H256" s="189"/>
      <c r="I256" s="249"/>
      <c r="J256" s="249"/>
      <c r="K256" s="589"/>
      <c r="L256" s="590"/>
      <c r="M256" s="590"/>
      <c r="N256" s="50" t="str">
        <f>IF(AND('331-CT'!$E$7=TH!H256,OR(L256="331",M256="331")),"331",IF(AND(OR(L256="131",M256="131"),H256='131-CT'!$E$7),"131",""))</f>
        <v/>
      </c>
      <c r="O256" s="50" t="str">
        <f>IF(AND($B256&gt;='111'!$N$11,$B256&lt;='111'!$O$11,OR($L256=$O$7,$M256=$O$7)),"x","")</f>
        <v/>
      </c>
      <c r="P256" s="50" t="str">
        <f>IF(AND($L256=$O$7,$B256&lt;'111'!$N$11),"x","")</f>
        <v/>
      </c>
      <c r="Q256" s="50" t="str">
        <f>IF(AND($M256=$O$7,$B256&lt;'111'!$N$11),"x","")</f>
        <v/>
      </c>
      <c r="R256" s="50" t="str">
        <f>IF(ISERROR(FIND('112'!$M$9,G256,1)),"",IF((AND(FIND('112'!$M$9,G256,1)&gt;=1,$B256&gt;='112'!$N$8,$B256&lt;='112'!$O$8,OR($L256='112'!$I$6,$M256='112'!$I$6))),"x",""))</f>
        <v/>
      </c>
      <c r="S256" s="50" t="str">
        <f>IF(ISERROR(FIND('112'!$M$9,G256,1)),"",IF((AND(LEFT(G256,2)=LEFT('112'!$M$9,2),B256&lt;'112'!$N$8,$L256='112'!$I$6)),"x",""))</f>
        <v/>
      </c>
      <c r="T256" s="50" t="str">
        <f>IF(ISERROR(FIND('112'!$M$9,G256,1)),"",IF((AND(RIGHT(G256,2)=RIGHT('112'!$M$9,2),B256&lt;'112'!$N$8,$M256='112'!$I$6)),"x",""))</f>
        <v/>
      </c>
      <c r="U256" s="50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0" t="str">
        <f>IF(OR(TH!L256=TH!$V$7,M256=TH!$V$7),"x","")</f>
        <v/>
      </c>
      <c r="W256" s="50" t="str">
        <f>IF(AND(B256&gt;='IN-NX'!$P$3,B256&lt;='IN-NX'!$Q$3,'IN-NX'!$D$7=D256,OR(LEFT(L256,2)="15",AND(LEFT(M256,2)&lt;&gt;"15",LEFT(M256,2)&lt;&gt;"33"))),"x","")</f>
        <v/>
      </c>
      <c r="X256" s="50" t="str">
        <f>IF(AND(OR(LEFT(TH!L256,2)="15",LEFT(TH!M256,2)="15"),'152-CT'!$J$8=TH!F256),"x","")</f>
        <v/>
      </c>
      <c r="Y256" s="50" t="str">
        <f>IF(AND(OR(LEFT(TH!L256,2)="15",LEFT(TH!M256,2)="15"),TK!$E$7=TH!F256),"x","")</f>
        <v/>
      </c>
      <c r="Z256" s="50" t="str">
        <f>IF(AND(B256&lt;=NKC!$N$8,B256&gt;=NKC!$M$8),"x","")</f>
        <v/>
      </c>
      <c r="AA256" s="845"/>
      <c r="AB256" s="581"/>
    </row>
    <row r="257" spans="1:30" s="201" customFormat="1" ht="15.75" customHeight="1">
      <c r="A257" s="846" t="str">
        <f>IF(B257&lt;&gt;"",IF(AND(B257&gt;=_TM1,B257&lt;=_TM2,OR(TH!L257="1111",TH!M257="1111")),TH!D257,""),"")</f>
        <v/>
      </c>
      <c r="B257" s="36" t="str">
        <f t="shared" si="7"/>
        <v/>
      </c>
      <c r="C257" s="187"/>
      <c r="D257" s="187"/>
      <c r="E257" s="187"/>
      <c r="F257" s="188"/>
      <c r="G257" s="854"/>
      <c r="H257" s="189"/>
      <c r="I257" s="249"/>
      <c r="J257" s="249"/>
      <c r="K257" s="589"/>
      <c r="L257" s="590"/>
      <c r="M257" s="590"/>
      <c r="N257" s="50" t="str">
        <f>IF(AND('331-CT'!$E$7=TH!H257,OR(L257="331",M257="331")),"331",IF(AND(OR(L257="131",M257="131"),H257='131-CT'!$E$7),"131",""))</f>
        <v/>
      </c>
      <c r="O257" s="50" t="str">
        <f>IF(AND($B257&gt;='111'!$N$11,$B257&lt;='111'!$O$11,OR($L257=$O$7,$M257=$O$7)),"x","")</f>
        <v/>
      </c>
      <c r="P257" s="50" t="str">
        <f>IF(AND($L257=$O$7,$B257&lt;'111'!$N$11),"x","")</f>
        <v/>
      </c>
      <c r="Q257" s="50" t="str">
        <f>IF(AND($M257=$O$7,$B257&lt;'111'!$N$11),"x","")</f>
        <v/>
      </c>
      <c r="R257" s="50" t="str">
        <f>IF(ISERROR(FIND('112'!$M$9,G257,1)),"",IF((AND(FIND('112'!$M$9,G257,1)&gt;=1,$B257&gt;='112'!$N$8,$B257&lt;='112'!$O$8,OR($L257='112'!$I$6,$M257='112'!$I$6))),"x",""))</f>
        <v/>
      </c>
      <c r="S257" s="50" t="str">
        <f>IF(ISERROR(FIND('112'!$M$9,G257,1)),"",IF((AND(LEFT(G257,2)=LEFT('112'!$M$9,2),B257&lt;'112'!$N$8,$L257='112'!$I$6)),"x",""))</f>
        <v/>
      </c>
      <c r="T257" s="50" t="str">
        <f>IF(ISERROR(FIND('112'!$M$9,G257,1)),"",IF((AND(RIGHT(G257,2)=RIGHT('112'!$M$9,2),B257&lt;'112'!$N$8,$M257='112'!$I$6)),"x",""))</f>
        <v/>
      </c>
      <c r="U257" s="50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0" t="str">
        <f>IF(OR(TH!L257=TH!$V$7,M257=TH!$V$7),"x","")</f>
        <v/>
      </c>
      <c r="W257" s="50" t="str">
        <f>IF(AND(B257&gt;='IN-NX'!$P$3,B257&lt;='IN-NX'!$Q$3,'IN-NX'!$D$7=D257,OR(LEFT(L257,2)="15",AND(LEFT(M257,2)&lt;&gt;"15",LEFT(M257,2)&lt;&gt;"33"))),"x","")</f>
        <v/>
      </c>
      <c r="X257" s="50" t="str">
        <f>IF(AND(OR(LEFT(TH!L257,2)="15",LEFT(TH!M257,2)="15"),'152-CT'!$J$8=TH!F257),"x","")</f>
        <v/>
      </c>
      <c r="Y257" s="50" t="str">
        <f>IF(AND(OR(LEFT(TH!L257,2)="15",LEFT(TH!M257,2)="15"),TK!$E$7=TH!F257),"x","")</f>
        <v/>
      </c>
      <c r="Z257" s="50" t="str">
        <f>IF(AND(B257&lt;=NKC!$N$8,B257&gt;=NKC!$M$8),"x","")</f>
        <v/>
      </c>
      <c r="AA257" s="845"/>
      <c r="AB257" s="581"/>
    </row>
    <row r="258" spans="1:30" s="201" customFormat="1" ht="15.75" customHeight="1">
      <c r="A258" s="846" t="str">
        <f>IF(B258&lt;&gt;"",IF(AND(B258&gt;=_TM1,B258&lt;=_TM2,OR(TH!L258="1111",TH!M258="1111")),TH!D258,""),"")</f>
        <v/>
      </c>
      <c r="B258" s="36" t="str">
        <f t="shared" si="7"/>
        <v/>
      </c>
      <c r="C258" s="187"/>
      <c r="D258" s="187"/>
      <c r="E258" s="187"/>
      <c r="F258" s="188"/>
      <c r="G258" s="854"/>
      <c r="H258" s="189"/>
      <c r="I258" s="249"/>
      <c r="J258" s="249"/>
      <c r="K258" s="589"/>
      <c r="L258" s="590"/>
      <c r="M258" s="590"/>
      <c r="N258" s="50" t="str">
        <f>IF(AND('331-CT'!$E$7=TH!H258,OR(L258="331",M258="331")),"331",IF(AND(OR(L258="131",M258="131"),H258='131-CT'!$E$7),"131",""))</f>
        <v/>
      </c>
      <c r="O258" s="50" t="str">
        <f>IF(AND($B258&gt;='111'!$N$11,$B258&lt;='111'!$O$11,OR($L258=$O$7,$M258=$O$7)),"x","")</f>
        <v/>
      </c>
      <c r="P258" s="50" t="str">
        <f>IF(AND($L258=$O$7,$B258&lt;'111'!$N$11),"x","")</f>
        <v/>
      </c>
      <c r="Q258" s="50" t="str">
        <f>IF(AND($M258=$O$7,$B258&lt;'111'!$N$11),"x","")</f>
        <v/>
      </c>
      <c r="R258" s="50" t="str">
        <f>IF(ISERROR(FIND('112'!$M$9,G258,1)),"",IF((AND(FIND('112'!$M$9,G258,1)&gt;=1,$B258&gt;='112'!$N$8,$B258&lt;='112'!$O$8,OR($L258='112'!$I$6,$M258='112'!$I$6))),"x",""))</f>
        <v/>
      </c>
      <c r="S258" s="50" t="str">
        <f>IF(ISERROR(FIND('112'!$M$9,G258,1)),"",IF((AND(LEFT(G258,2)=LEFT('112'!$M$9,2),B258&lt;'112'!$N$8,$L258='112'!$I$6)),"x",""))</f>
        <v/>
      </c>
      <c r="T258" s="50" t="str">
        <f>IF(ISERROR(FIND('112'!$M$9,G258,1)),"",IF((AND(RIGHT(G258,2)=RIGHT('112'!$M$9,2),B258&lt;'112'!$N$8,$M258='112'!$I$6)),"x",""))</f>
        <v/>
      </c>
      <c r="U258" s="50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0" t="str">
        <f>IF(OR(TH!L258=TH!$V$7,M258=TH!$V$7),"x","")</f>
        <v/>
      </c>
      <c r="W258" s="50" t="str">
        <f>IF(AND(B258&gt;='IN-NX'!$P$3,B258&lt;='IN-NX'!$Q$3,'IN-NX'!$D$7=D258,OR(LEFT(L258,2)="15",AND(LEFT(M258,2)&lt;&gt;"15",LEFT(M258,2)&lt;&gt;"33"))),"x","")</f>
        <v/>
      </c>
      <c r="X258" s="50" t="str">
        <f>IF(AND(OR(LEFT(TH!L258,2)="15",LEFT(TH!M258,2)="15"),'152-CT'!$J$8=TH!F258),"x","")</f>
        <v/>
      </c>
      <c r="Y258" s="50" t="str">
        <f>IF(AND(OR(LEFT(TH!L258,2)="15",LEFT(TH!M258,2)="15"),TK!$E$7=TH!F258),"x","")</f>
        <v/>
      </c>
      <c r="Z258" s="50" t="str">
        <f>IF(AND(B258&lt;=NKC!$N$8,B258&gt;=NKC!$M$8),"x","")</f>
        <v/>
      </c>
      <c r="AA258" s="845"/>
      <c r="AB258" s="581"/>
      <c r="AC258" s="581"/>
      <c r="AD258" s="581"/>
    </row>
    <row r="259" spans="1:30" s="201" customFormat="1" ht="15.75" customHeight="1">
      <c r="A259" s="846" t="str">
        <f>IF(B259&lt;&gt;"",IF(AND(B259&gt;=_TM1,B259&lt;=_TM2,OR(TH!L259="1111",TH!M259="1111")),TH!D259,""),"")</f>
        <v/>
      </c>
      <c r="B259" s="36" t="str">
        <f t="shared" si="7"/>
        <v/>
      </c>
      <c r="C259" s="187"/>
      <c r="D259" s="187"/>
      <c r="E259" s="187"/>
      <c r="F259" s="188"/>
      <c r="G259" s="854"/>
      <c r="H259" s="189"/>
      <c r="I259" s="249"/>
      <c r="J259" s="249"/>
      <c r="K259" s="589"/>
      <c r="L259" s="590"/>
      <c r="M259" s="590"/>
      <c r="N259" s="50" t="str">
        <f>IF(AND('331-CT'!$E$7=TH!H259,OR(L259="331",M259="331")),"331",IF(AND(OR(L259="131",M259="131"),H259='131-CT'!$E$7),"131",""))</f>
        <v/>
      </c>
      <c r="O259" s="50" t="str">
        <f>IF(AND($B259&gt;='111'!$N$11,$B259&lt;='111'!$O$11,OR($L259=$O$7,$M259=$O$7)),"x","")</f>
        <v/>
      </c>
      <c r="P259" s="50" t="str">
        <f>IF(AND($L259=$O$7,$B259&lt;'111'!$N$11),"x","")</f>
        <v/>
      </c>
      <c r="Q259" s="50" t="str">
        <f>IF(AND($M259=$O$7,$B259&lt;'111'!$N$11),"x","")</f>
        <v/>
      </c>
      <c r="R259" s="50" t="str">
        <f>IF(ISERROR(FIND('112'!$M$9,G259,1)),"",IF((AND(FIND('112'!$M$9,G259,1)&gt;=1,$B259&gt;='112'!$N$8,$B259&lt;='112'!$O$8,OR($L259='112'!$I$6,$M259='112'!$I$6))),"x",""))</f>
        <v/>
      </c>
      <c r="S259" s="50" t="str">
        <f>IF(ISERROR(FIND('112'!$M$9,G259,1)),"",IF((AND(LEFT(G259,2)=LEFT('112'!$M$9,2),B259&lt;'112'!$N$8,$L259='112'!$I$6)),"x",""))</f>
        <v/>
      </c>
      <c r="T259" s="50" t="str">
        <f>IF(ISERROR(FIND('112'!$M$9,G259,1)),"",IF((AND(RIGHT(G259,2)=RIGHT('112'!$M$9,2),B259&lt;'112'!$N$8,$M259='112'!$I$6)),"x",""))</f>
        <v/>
      </c>
      <c r="U259" s="50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0" t="str">
        <f>IF(OR(TH!L259=TH!$V$7,M259=TH!$V$7),"x","")</f>
        <v/>
      </c>
      <c r="W259" s="50" t="str">
        <f>IF(AND(B259&gt;='IN-NX'!$P$3,B259&lt;='IN-NX'!$Q$3,'IN-NX'!$D$7=D259,OR(LEFT(L259,2)="15",AND(LEFT(M259,2)&lt;&gt;"15",LEFT(M259,2)&lt;&gt;"33"))),"x","")</f>
        <v/>
      </c>
      <c r="X259" s="50" t="str">
        <f>IF(AND(OR(LEFT(TH!L259,2)="15",LEFT(TH!M259,2)="15"),'152-CT'!$J$8=TH!F259),"x","")</f>
        <v/>
      </c>
      <c r="Y259" s="50" t="str">
        <f>IF(AND(OR(LEFT(TH!L259,2)="15",LEFT(TH!M259,2)="15"),TK!$E$7=TH!F259),"x","")</f>
        <v/>
      </c>
      <c r="Z259" s="50" t="str">
        <f>IF(AND(B259&lt;=NKC!$N$8,B259&gt;=NKC!$M$8),"x","")</f>
        <v/>
      </c>
      <c r="AA259" s="845"/>
      <c r="AB259" s="581"/>
    </row>
    <row r="260" spans="1:30" s="201" customFormat="1" ht="15.75" customHeight="1">
      <c r="A260" s="846" t="str">
        <f>IF(B260&lt;&gt;"",IF(AND(B260&gt;=_TM1,B260&lt;=_TM2,OR(TH!L260="1111",TH!M260="1111")),TH!D260,""),"")</f>
        <v/>
      </c>
      <c r="B260" s="36" t="str">
        <f t="shared" si="7"/>
        <v/>
      </c>
      <c r="C260" s="187"/>
      <c r="D260" s="187"/>
      <c r="E260" s="187"/>
      <c r="F260" s="188"/>
      <c r="G260" s="854"/>
      <c r="H260" s="189"/>
      <c r="I260" s="249"/>
      <c r="J260" s="249"/>
      <c r="K260" s="589"/>
      <c r="L260" s="590"/>
      <c r="M260" s="590"/>
      <c r="N260" s="50" t="str">
        <f>IF(AND('331-CT'!$E$7=TH!H260,OR(L260="331",M260="331")),"331",IF(AND(OR(L260="131",M260="131"),H260='131-CT'!$E$7),"131",""))</f>
        <v/>
      </c>
      <c r="O260" s="50" t="str">
        <f>IF(AND($B260&gt;='111'!$N$11,$B260&lt;='111'!$O$11,OR($L260=$O$7,$M260=$O$7)),"x","")</f>
        <v/>
      </c>
      <c r="P260" s="50" t="str">
        <f>IF(AND($L260=$O$7,$B260&lt;'111'!$N$11),"x","")</f>
        <v/>
      </c>
      <c r="Q260" s="50" t="str">
        <f>IF(AND($M260=$O$7,$B260&lt;'111'!$N$11),"x","")</f>
        <v/>
      </c>
      <c r="R260" s="50" t="str">
        <f>IF(ISERROR(FIND('112'!$M$9,G260,1)),"",IF((AND(FIND('112'!$M$9,G260,1)&gt;=1,$B260&gt;='112'!$N$8,$B260&lt;='112'!$O$8,OR($L260='112'!$I$6,$M260='112'!$I$6))),"x",""))</f>
        <v/>
      </c>
      <c r="S260" s="50" t="str">
        <f>IF(ISERROR(FIND('112'!$M$9,G260,1)),"",IF((AND(LEFT(G260,2)=LEFT('112'!$M$9,2),B260&lt;'112'!$N$8,$L260='112'!$I$6)),"x",""))</f>
        <v/>
      </c>
      <c r="T260" s="50" t="str">
        <f>IF(ISERROR(FIND('112'!$M$9,G260,1)),"",IF((AND(RIGHT(G260,2)=RIGHT('112'!$M$9,2),B260&lt;'112'!$N$8,$M260='112'!$I$6)),"x",""))</f>
        <v/>
      </c>
      <c r="U260" s="50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0" t="str">
        <f>IF(OR(TH!L260=TH!$V$7,M260=TH!$V$7),"x","")</f>
        <v/>
      </c>
      <c r="W260" s="50" t="str">
        <f>IF(AND(B260&gt;='IN-NX'!$P$3,B260&lt;='IN-NX'!$Q$3,'IN-NX'!$D$7=D260,OR(LEFT(L260,2)="15",AND(LEFT(M260,2)&lt;&gt;"15",LEFT(M260,2)&lt;&gt;"33"))),"x","")</f>
        <v/>
      </c>
      <c r="X260" s="50" t="str">
        <f>IF(AND(OR(LEFT(TH!L260,2)="15",LEFT(TH!M260,2)="15"),'152-CT'!$J$8=TH!F260),"x","")</f>
        <v/>
      </c>
      <c r="Y260" s="50" t="str">
        <f>IF(AND(OR(LEFT(TH!L260,2)="15",LEFT(TH!M260,2)="15"),TK!$E$7=TH!F260),"x","")</f>
        <v/>
      </c>
      <c r="Z260" s="50" t="str">
        <f>IF(AND(B260&lt;=NKC!$N$8,B260&gt;=NKC!$M$8),"x","")</f>
        <v/>
      </c>
      <c r="AA260" s="845"/>
      <c r="AB260" s="581"/>
    </row>
    <row r="261" spans="1:30" s="201" customFormat="1" ht="15.75" customHeight="1">
      <c r="A261" s="846" t="str">
        <f>IF(B261&lt;&gt;"",IF(AND(B261&gt;=_TM1,B261&lt;=_TM2,OR(TH!L261="1111",TH!M261="1111")),TH!D261,""),"")</f>
        <v/>
      </c>
      <c r="B261" s="36" t="str">
        <f t="shared" si="7"/>
        <v/>
      </c>
      <c r="C261" s="187"/>
      <c r="D261" s="187"/>
      <c r="E261" s="187"/>
      <c r="F261" s="188"/>
      <c r="G261" s="854"/>
      <c r="H261" s="189"/>
      <c r="I261" s="249"/>
      <c r="J261" s="249"/>
      <c r="K261" s="589"/>
      <c r="L261" s="590"/>
      <c r="M261" s="590"/>
      <c r="N261" s="50" t="str">
        <f>IF(AND('331-CT'!$E$7=TH!H261,OR(L261="331",M261="331")),"331",IF(AND(OR(L261="131",M261="131"),H261='131-CT'!$E$7),"131",""))</f>
        <v/>
      </c>
      <c r="O261" s="50" t="str">
        <f>IF(AND($B261&gt;='111'!$N$11,$B261&lt;='111'!$O$11,OR($L261=$O$7,$M261=$O$7)),"x","")</f>
        <v/>
      </c>
      <c r="P261" s="50" t="str">
        <f>IF(AND($L261=$O$7,$B261&lt;'111'!$N$11),"x","")</f>
        <v/>
      </c>
      <c r="Q261" s="50" t="str">
        <f>IF(AND($M261=$O$7,$B261&lt;'111'!$N$11),"x","")</f>
        <v/>
      </c>
      <c r="R261" s="50" t="str">
        <f>IF(ISERROR(FIND('112'!$M$9,G261,1)),"",IF((AND(FIND('112'!$M$9,G261,1)&gt;=1,$B261&gt;='112'!$N$8,$B261&lt;='112'!$O$8,OR($L261='112'!$I$6,$M261='112'!$I$6))),"x",""))</f>
        <v/>
      </c>
      <c r="S261" s="50" t="str">
        <f>IF(ISERROR(FIND('112'!$M$9,G261,1)),"",IF((AND(LEFT(G261,2)=LEFT('112'!$M$9,2),B261&lt;'112'!$N$8,$L261='112'!$I$6)),"x",""))</f>
        <v/>
      </c>
      <c r="T261" s="50" t="str">
        <f>IF(ISERROR(FIND('112'!$M$9,G261,1)),"",IF((AND(RIGHT(G261,2)=RIGHT('112'!$M$9,2),B261&lt;'112'!$N$8,$M261='112'!$I$6)),"x",""))</f>
        <v/>
      </c>
      <c r="U261" s="50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0" t="str">
        <f>IF(OR(TH!L261=TH!$V$7,M261=TH!$V$7),"x","")</f>
        <v/>
      </c>
      <c r="W261" s="50" t="str">
        <f>IF(AND(B261&gt;='IN-NX'!$P$3,B261&lt;='IN-NX'!$Q$3,'IN-NX'!$D$7=D261,OR(LEFT(L261,2)="15",AND(LEFT(M261,2)&lt;&gt;"15",LEFT(M261,2)&lt;&gt;"33"))),"x","")</f>
        <v/>
      </c>
      <c r="X261" s="50" t="str">
        <f>IF(AND(OR(LEFT(TH!L261,2)="15",LEFT(TH!M261,2)="15"),'152-CT'!$J$8=TH!F261),"x","")</f>
        <v/>
      </c>
      <c r="Y261" s="50" t="str">
        <f>IF(AND(OR(LEFT(TH!L261,2)="15",LEFT(TH!M261,2)="15"),TK!$E$7=TH!F261),"x","")</f>
        <v/>
      </c>
      <c r="Z261" s="50" t="str">
        <f>IF(AND(B261&lt;=NKC!$N$8,B261&gt;=NKC!$M$8),"x","")</f>
        <v/>
      </c>
      <c r="AA261" s="845"/>
      <c r="AB261" s="581"/>
    </row>
    <row r="262" spans="1:30" s="201" customFormat="1" ht="15.75" customHeight="1">
      <c r="A262" s="846" t="str">
        <f>IF(B262&lt;&gt;"",IF(AND(B262&gt;=_TM1,B262&lt;=_TM2,OR(TH!L262="1111",TH!M262="1111")),TH!D262,""),"")</f>
        <v/>
      </c>
      <c r="B262" s="36" t="str">
        <f t="shared" si="7"/>
        <v/>
      </c>
      <c r="C262" s="187"/>
      <c r="D262" s="187"/>
      <c r="E262" s="187"/>
      <c r="F262" s="188"/>
      <c r="G262" s="854"/>
      <c r="H262" s="189"/>
      <c r="I262" s="249"/>
      <c r="J262" s="249"/>
      <c r="K262" s="589"/>
      <c r="L262" s="590"/>
      <c r="M262" s="590"/>
      <c r="N262" s="50" t="str">
        <f>IF(AND('331-CT'!$E$7=TH!H262,OR(L262="331",M262="331")),"331",IF(AND(OR(L262="131",M262="131"),H262='131-CT'!$E$7),"131",""))</f>
        <v/>
      </c>
      <c r="O262" s="50" t="str">
        <f>IF(AND($B262&gt;='111'!$N$11,$B262&lt;='111'!$O$11,OR($L262=$O$7,$M262=$O$7)),"x","")</f>
        <v/>
      </c>
      <c r="P262" s="50" t="str">
        <f>IF(AND($L262=$O$7,$B262&lt;'111'!$N$11),"x","")</f>
        <v/>
      </c>
      <c r="Q262" s="50" t="str">
        <f>IF(AND($M262=$O$7,$B262&lt;'111'!$N$11),"x","")</f>
        <v/>
      </c>
      <c r="R262" s="50" t="str">
        <f>IF(ISERROR(FIND('112'!$M$9,G262,1)),"",IF((AND(FIND('112'!$M$9,G262,1)&gt;=1,$B262&gt;='112'!$N$8,$B262&lt;='112'!$O$8,OR($L262='112'!$I$6,$M262='112'!$I$6))),"x",""))</f>
        <v/>
      </c>
      <c r="S262" s="50" t="str">
        <f>IF(ISERROR(FIND('112'!$M$9,G262,1)),"",IF((AND(LEFT(G262,2)=LEFT('112'!$M$9,2),B262&lt;'112'!$N$8,$L262='112'!$I$6)),"x",""))</f>
        <v/>
      </c>
      <c r="T262" s="50" t="str">
        <f>IF(ISERROR(FIND('112'!$M$9,G262,1)),"",IF((AND(RIGHT(G262,2)=RIGHT('112'!$M$9,2),B262&lt;'112'!$N$8,$M262='112'!$I$6)),"x",""))</f>
        <v/>
      </c>
      <c r="U262" s="50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0" t="str">
        <f>IF(OR(TH!L262=TH!$V$7,M262=TH!$V$7),"x","")</f>
        <v/>
      </c>
      <c r="W262" s="50" t="str">
        <f>IF(AND(B262&gt;='IN-NX'!$P$3,B262&lt;='IN-NX'!$Q$3,'IN-NX'!$D$7=D262,OR(LEFT(L262,2)="15",AND(LEFT(M262,2)&lt;&gt;"15",LEFT(M262,2)&lt;&gt;"33"))),"x","")</f>
        <v/>
      </c>
      <c r="X262" s="50" t="str">
        <f>IF(AND(OR(LEFT(TH!L262,2)="15",LEFT(TH!M262,2)="15"),'152-CT'!$J$8=TH!F262),"x","")</f>
        <v/>
      </c>
      <c r="Y262" s="50" t="str">
        <f>IF(AND(OR(LEFT(TH!L262,2)="15",LEFT(TH!M262,2)="15"),TK!$E$7=TH!F262),"x","")</f>
        <v/>
      </c>
      <c r="Z262" s="50" t="str">
        <f>IF(AND(B262&lt;=NKC!$N$8,B262&gt;=NKC!$M$8),"x","")</f>
        <v/>
      </c>
      <c r="AA262" s="845"/>
      <c r="AB262" s="581"/>
    </row>
    <row r="263" spans="1:30" s="201" customFormat="1" ht="15.75" customHeight="1">
      <c r="A263" s="846" t="str">
        <f>IF(B263&lt;&gt;"",IF(AND(B263&gt;=_TM1,B263&lt;=_TM2,OR(TH!L263="1111",TH!M263="1111")),TH!D263,""),"")</f>
        <v/>
      </c>
      <c r="B263" s="36" t="str">
        <f t="shared" si="7"/>
        <v/>
      </c>
      <c r="C263" s="187"/>
      <c r="D263" s="187"/>
      <c r="E263" s="187"/>
      <c r="F263" s="188"/>
      <c r="G263" s="854"/>
      <c r="H263" s="189"/>
      <c r="I263" s="249"/>
      <c r="J263" s="249"/>
      <c r="K263" s="589"/>
      <c r="L263" s="590"/>
      <c r="M263" s="590"/>
      <c r="N263" s="50" t="str">
        <f>IF(AND('331-CT'!$E$7=TH!H263,OR(L263="331",M263="331")),"331",IF(AND(OR(L263="131",M263="131"),H263='131-CT'!$E$7),"131",""))</f>
        <v/>
      </c>
      <c r="O263" s="50" t="str">
        <f>IF(AND($B263&gt;='111'!$N$11,$B263&lt;='111'!$O$11,OR($L263=$O$7,$M263=$O$7)),"x","")</f>
        <v/>
      </c>
      <c r="P263" s="50" t="str">
        <f>IF(AND($L263=$O$7,$B263&lt;'111'!$N$11),"x","")</f>
        <v/>
      </c>
      <c r="Q263" s="50" t="str">
        <f>IF(AND($M263=$O$7,$B263&lt;'111'!$N$11),"x","")</f>
        <v/>
      </c>
      <c r="R263" s="50" t="str">
        <f>IF(ISERROR(FIND('112'!$M$9,G263,1)),"",IF((AND(FIND('112'!$M$9,G263,1)&gt;=1,$B263&gt;='112'!$N$8,$B263&lt;='112'!$O$8,OR($L263='112'!$I$6,$M263='112'!$I$6))),"x",""))</f>
        <v/>
      </c>
      <c r="S263" s="50" t="str">
        <f>IF(ISERROR(FIND('112'!$M$9,G263,1)),"",IF((AND(LEFT(G263,2)=LEFT('112'!$M$9,2),B263&lt;'112'!$N$8,$L263='112'!$I$6)),"x",""))</f>
        <v/>
      </c>
      <c r="T263" s="50" t="str">
        <f>IF(ISERROR(FIND('112'!$M$9,G263,1)),"",IF((AND(RIGHT(G263,2)=RIGHT('112'!$M$9,2),B263&lt;'112'!$N$8,$M263='112'!$I$6)),"x",""))</f>
        <v/>
      </c>
      <c r="U263" s="50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0" t="str">
        <f>IF(OR(TH!L263=TH!$V$7,M263=TH!$V$7),"x","")</f>
        <v/>
      </c>
      <c r="W263" s="50" t="str">
        <f>IF(AND(B263&gt;='IN-NX'!$P$3,B263&lt;='IN-NX'!$Q$3,'IN-NX'!$D$7=D263,OR(LEFT(L263,2)="15",AND(LEFT(M263,2)&lt;&gt;"15",LEFT(M263,2)&lt;&gt;"33"))),"x","")</f>
        <v/>
      </c>
      <c r="X263" s="50" t="str">
        <f>IF(AND(OR(LEFT(TH!L263,2)="15",LEFT(TH!M263,2)="15"),'152-CT'!$J$8=TH!F263),"x","")</f>
        <v/>
      </c>
      <c r="Y263" s="50" t="str">
        <f>IF(AND(OR(LEFT(TH!L263,2)="15",LEFT(TH!M263,2)="15"),TK!$E$7=TH!F263),"x","")</f>
        <v/>
      </c>
      <c r="Z263" s="50" t="str">
        <f>IF(AND(B263&lt;=NKC!$N$8,B263&gt;=NKC!$M$8),"x","")</f>
        <v/>
      </c>
      <c r="AA263" s="845"/>
      <c r="AB263" s="581"/>
    </row>
    <row r="264" spans="1:30" s="201" customFormat="1" ht="15.75" customHeight="1">
      <c r="A264" s="846" t="str">
        <f>IF(B264&lt;&gt;"",IF(AND(B264&gt;=_TM1,B264&lt;=_TM2,OR(TH!L264="1111",TH!M264="1111")),TH!D264,""),"")</f>
        <v/>
      </c>
      <c r="B264" s="36" t="str">
        <f t="shared" si="7"/>
        <v/>
      </c>
      <c r="C264" s="187"/>
      <c r="D264" s="187"/>
      <c r="E264" s="187"/>
      <c r="F264" s="188"/>
      <c r="G264" s="854"/>
      <c r="H264" s="189"/>
      <c r="I264" s="249"/>
      <c r="J264" s="249"/>
      <c r="K264" s="589"/>
      <c r="L264" s="590"/>
      <c r="M264" s="590"/>
      <c r="N264" s="50" t="str">
        <f>IF(AND('331-CT'!$E$7=TH!H264,OR(L264="331",M264="331")),"331",IF(AND(OR(L264="131",M264="131"),H264='131-CT'!$E$7),"131",""))</f>
        <v/>
      </c>
      <c r="O264" s="50" t="str">
        <f>IF(AND($B264&gt;='111'!$N$11,$B264&lt;='111'!$O$11,OR($L264=$O$7,$M264=$O$7)),"x","")</f>
        <v/>
      </c>
      <c r="P264" s="50" t="str">
        <f>IF(AND($L264=$O$7,$B264&lt;'111'!$N$11),"x","")</f>
        <v/>
      </c>
      <c r="Q264" s="50" t="str">
        <f>IF(AND($M264=$O$7,$B264&lt;'111'!$N$11),"x","")</f>
        <v/>
      </c>
      <c r="R264" s="50" t="str">
        <f>IF(ISERROR(FIND('112'!$M$9,G264,1)),"",IF((AND(FIND('112'!$M$9,G264,1)&gt;=1,$B264&gt;='112'!$N$8,$B264&lt;='112'!$O$8,OR($L264='112'!$I$6,$M264='112'!$I$6))),"x",""))</f>
        <v/>
      </c>
      <c r="S264" s="50" t="str">
        <f>IF(ISERROR(FIND('112'!$M$9,G264,1)),"",IF((AND(LEFT(G264,2)=LEFT('112'!$M$9,2),B264&lt;'112'!$N$8,$L264='112'!$I$6)),"x",""))</f>
        <v/>
      </c>
      <c r="T264" s="50" t="str">
        <f>IF(ISERROR(FIND('112'!$M$9,G264,1)),"",IF((AND(RIGHT(G264,2)=RIGHT('112'!$M$9,2),B264&lt;'112'!$N$8,$M264='112'!$I$6)),"x",""))</f>
        <v/>
      </c>
      <c r="U264" s="50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0" t="str">
        <f>IF(OR(TH!L264=TH!$V$7,M264=TH!$V$7),"x","")</f>
        <v/>
      </c>
      <c r="W264" s="50" t="str">
        <f>IF(AND(B264&gt;='IN-NX'!$P$3,B264&lt;='IN-NX'!$Q$3,'IN-NX'!$D$7=D264,OR(LEFT(L264,2)="15",AND(LEFT(M264,2)&lt;&gt;"15",LEFT(M264,2)&lt;&gt;"33"))),"x","")</f>
        <v/>
      </c>
      <c r="X264" s="50" t="str">
        <f>IF(AND(OR(LEFT(TH!L264,2)="15",LEFT(TH!M264,2)="15"),'152-CT'!$J$8=TH!F264),"x","")</f>
        <v/>
      </c>
      <c r="Y264" s="50" t="str">
        <f>IF(AND(OR(LEFT(TH!L264,2)="15",LEFT(TH!M264,2)="15"),TK!$E$7=TH!F264),"x","")</f>
        <v/>
      </c>
      <c r="Z264" s="50" t="str">
        <f>IF(AND(B264&lt;=NKC!$N$8,B264&gt;=NKC!$M$8),"x","")</f>
        <v/>
      </c>
      <c r="AA264" s="845"/>
      <c r="AB264" s="581"/>
    </row>
    <row r="265" spans="1:30" s="201" customFormat="1" ht="15.75" customHeight="1">
      <c r="A265" s="846" t="str">
        <f>IF(B265&lt;&gt;"",IF(AND(B265&gt;=_TM1,B265&lt;=_TM2,OR(TH!L265="1111",TH!M265="1111")),TH!D265,""),"")</f>
        <v/>
      </c>
      <c r="B265" s="36" t="str">
        <f t="shared" si="7"/>
        <v/>
      </c>
      <c r="C265" s="187"/>
      <c r="D265" s="187"/>
      <c r="E265" s="187"/>
      <c r="F265" s="188"/>
      <c r="G265" s="854"/>
      <c r="H265" s="189"/>
      <c r="I265" s="249"/>
      <c r="J265" s="249"/>
      <c r="K265" s="589"/>
      <c r="L265" s="590"/>
      <c r="M265" s="590"/>
      <c r="N265" s="50" t="str">
        <f>IF(AND('331-CT'!$E$7=TH!H265,OR(L265="331",M265="331")),"331",IF(AND(OR(L265="131",M265="131"),H265='131-CT'!$E$7),"131",""))</f>
        <v/>
      </c>
      <c r="O265" s="50" t="str">
        <f>IF(AND($B265&gt;='111'!$N$11,$B265&lt;='111'!$O$11,OR($L265=$O$7,$M265=$O$7)),"x","")</f>
        <v/>
      </c>
      <c r="P265" s="50" t="str">
        <f>IF(AND($L265=$O$7,$B265&lt;'111'!$N$11),"x","")</f>
        <v/>
      </c>
      <c r="Q265" s="50" t="str">
        <f>IF(AND($M265=$O$7,$B265&lt;'111'!$N$11),"x","")</f>
        <v/>
      </c>
      <c r="R265" s="50" t="str">
        <f>IF(ISERROR(FIND('112'!$M$9,G265,1)),"",IF((AND(FIND('112'!$M$9,G265,1)&gt;=1,$B265&gt;='112'!$N$8,$B265&lt;='112'!$O$8,OR($L265='112'!$I$6,$M265='112'!$I$6))),"x",""))</f>
        <v/>
      </c>
      <c r="S265" s="50" t="str">
        <f>IF(ISERROR(FIND('112'!$M$9,G265,1)),"",IF((AND(LEFT(G265,2)=LEFT('112'!$M$9,2),B265&lt;'112'!$N$8,$L265='112'!$I$6)),"x",""))</f>
        <v/>
      </c>
      <c r="T265" s="50" t="str">
        <f>IF(ISERROR(FIND('112'!$M$9,G265,1)),"",IF((AND(RIGHT(G265,2)=RIGHT('112'!$M$9,2),B265&lt;'112'!$N$8,$M265='112'!$I$6)),"x",""))</f>
        <v/>
      </c>
      <c r="U265" s="50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0" t="str">
        <f>IF(OR(TH!L265=TH!$V$7,M265=TH!$V$7),"x","")</f>
        <v/>
      </c>
      <c r="W265" s="50" t="str">
        <f>IF(AND(B265&gt;='IN-NX'!$P$3,B265&lt;='IN-NX'!$Q$3,'IN-NX'!$D$7=D265,OR(LEFT(L265,2)="15",AND(LEFT(M265,2)&lt;&gt;"15",LEFT(M265,2)&lt;&gt;"33"))),"x","")</f>
        <v/>
      </c>
      <c r="X265" s="50" t="str">
        <f>IF(AND(OR(LEFT(TH!L265,2)="15",LEFT(TH!M265,2)="15"),'152-CT'!$J$8=TH!F265),"x","")</f>
        <v/>
      </c>
      <c r="Y265" s="50" t="str">
        <f>IF(AND(OR(LEFT(TH!L265,2)="15",LEFT(TH!M265,2)="15"),TK!$E$7=TH!F265),"x","")</f>
        <v/>
      </c>
      <c r="Z265" s="50" t="str">
        <f>IF(AND(B265&lt;=NKC!$N$8,B265&gt;=NKC!$M$8),"x","")</f>
        <v/>
      </c>
      <c r="AA265" s="845"/>
      <c r="AB265" s="581"/>
    </row>
    <row r="266" spans="1:30" s="201" customFormat="1" ht="15.75" customHeight="1">
      <c r="A266" s="846" t="str">
        <f>IF(B266&lt;&gt;"",IF(AND(B266&gt;=_TM1,B266&lt;=_TM2,OR(TH!L266="1111",TH!M266="1111")),TH!D266,""),"")</f>
        <v/>
      </c>
      <c r="B266" s="36" t="str">
        <f t="shared" si="7"/>
        <v/>
      </c>
      <c r="C266" s="187"/>
      <c r="D266" s="187"/>
      <c r="E266" s="187"/>
      <c r="F266" s="188"/>
      <c r="G266" s="854"/>
      <c r="H266" s="189"/>
      <c r="I266" s="249"/>
      <c r="J266" s="249"/>
      <c r="K266" s="589"/>
      <c r="L266" s="590"/>
      <c r="M266" s="590"/>
      <c r="N266" s="50" t="str">
        <f>IF(AND('331-CT'!$E$7=TH!H266,OR(L266="331",M266="331")),"331",IF(AND(OR(L266="131",M266="131"),H266='131-CT'!$E$7),"131",""))</f>
        <v/>
      </c>
      <c r="O266" s="50" t="str">
        <f>IF(AND($B266&gt;='111'!$N$11,$B266&lt;='111'!$O$11,OR($L266=$O$7,$M266=$O$7)),"x","")</f>
        <v/>
      </c>
      <c r="P266" s="50" t="str">
        <f>IF(AND($L266=$O$7,$B266&lt;'111'!$N$11),"x","")</f>
        <v/>
      </c>
      <c r="Q266" s="50" t="str">
        <f>IF(AND($M266=$O$7,$B266&lt;'111'!$N$11),"x","")</f>
        <v/>
      </c>
      <c r="R266" s="50" t="str">
        <f>IF(ISERROR(FIND('112'!$M$9,G266,1)),"",IF((AND(FIND('112'!$M$9,G266,1)&gt;=1,$B266&gt;='112'!$N$8,$B266&lt;='112'!$O$8,OR($L266='112'!$I$6,$M266='112'!$I$6))),"x",""))</f>
        <v/>
      </c>
      <c r="S266" s="50" t="str">
        <f>IF(ISERROR(FIND('112'!$M$9,G266,1)),"",IF((AND(LEFT(G266,2)=LEFT('112'!$M$9,2),B266&lt;'112'!$N$8,$L266='112'!$I$6)),"x",""))</f>
        <v/>
      </c>
      <c r="T266" s="50" t="str">
        <f>IF(ISERROR(FIND('112'!$M$9,G266,1)),"",IF((AND(RIGHT(G266,2)=RIGHT('112'!$M$9,2),B266&lt;'112'!$N$8,$M266='112'!$I$6)),"x",""))</f>
        <v/>
      </c>
      <c r="U266" s="50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0" t="str">
        <f>IF(OR(TH!L266=TH!$V$7,M266=TH!$V$7),"x","")</f>
        <v/>
      </c>
      <c r="W266" s="50" t="str">
        <f>IF(AND(B266&gt;='IN-NX'!$P$3,B266&lt;='IN-NX'!$Q$3,'IN-NX'!$D$7=D266,OR(LEFT(L266,2)="15",AND(LEFT(M266,2)&lt;&gt;"15",LEFT(M266,2)&lt;&gt;"33"))),"x","")</f>
        <v/>
      </c>
      <c r="X266" s="50" t="str">
        <f>IF(AND(OR(LEFT(TH!L266,2)="15",LEFT(TH!M266,2)="15"),'152-CT'!$J$8=TH!F266),"x","")</f>
        <v/>
      </c>
      <c r="Y266" s="50" t="str">
        <f>IF(AND(OR(LEFT(TH!L266,2)="15",LEFT(TH!M266,2)="15"),TK!$E$7=TH!F266),"x","")</f>
        <v/>
      </c>
      <c r="Z266" s="50" t="str">
        <f>IF(AND(B266&lt;=NKC!$N$8,B266&gt;=NKC!$M$8),"x","")</f>
        <v/>
      </c>
      <c r="AA266" s="845"/>
      <c r="AB266" s="581"/>
    </row>
    <row r="267" spans="1:30" s="201" customFormat="1" ht="15.75" customHeight="1">
      <c r="A267" s="846" t="str">
        <f>IF(B267&lt;&gt;"",IF(AND(B267&gt;=_TM1,B267&lt;=_TM2,OR(TH!L267="1111",TH!M267="1111")),TH!D267,""),"")</f>
        <v/>
      </c>
      <c r="B267" s="36" t="str">
        <f t="shared" si="7"/>
        <v/>
      </c>
      <c r="C267" s="187"/>
      <c r="D267" s="187"/>
      <c r="E267" s="187"/>
      <c r="F267" s="188"/>
      <c r="G267" s="854"/>
      <c r="H267" s="189"/>
      <c r="I267" s="249"/>
      <c r="J267" s="249"/>
      <c r="K267" s="589"/>
      <c r="L267" s="590"/>
      <c r="M267" s="590"/>
      <c r="N267" s="50" t="str">
        <f>IF(AND('331-CT'!$E$7=TH!H267,OR(L267="331",M267="331")),"331",IF(AND(OR(L267="131",M267="131"),H267='131-CT'!$E$7),"131",""))</f>
        <v/>
      </c>
      <c r="O267" s="50" t="str">
        <f>IF(AND($B267&gt;='111'!$N$11,$B267&lt;='111'!$O$11,OR($L267=$O$7,$M267=$O$7)),"x","")</f>
        <v/>
      </c>
      <c r="P267" s="50" t="str">
        <f>IF(AND($L267=$O$7,$B267&lt;'111'!$N$11),"x","")</f>
        <v/>
      </c>
      <c r="Q267" s="50" t="str">
        <f>IF(AND($M267=$O$7,$B267&lt;'111'!$N$11),"x","")</f>
        <v/>
      </c>
      <c r="R267" s="50" t="str">
        <f>IF(ISERROR(FIND('112'!$M$9,G267,1)),"",IF((AND(FIND('112'!$M$9,G267,1)&gt;=1,$B267&gt;='112'!$N$8,$B267&lt;='112'!$O$8,OR($L267='112'!$I$6,$M267='112'!$I$6))),"x",""))</f>
        <v/>
      </c>
      <c r="S267" s="50" t="str">
        <f>IF(ISERROR(FIND('112'!$M$9,G267,1)),"",IF((AND(LEFT(G267,2)=LEFT('112'!$M$9,2),B267&lt;'112'!$N$8,$L267='112'!$I$6)),"x",""))</f>
        <v/>
      </c>
      <c r="T267" s="50" t="str">
        <f>IF(ISERROR(FIND('112'!$M$9,G267,1)),"",IF((AND(RIGHT(G267,2)=RIGHT('112'!$M$9,2),B267&lt;'112'!$N$8,$M267='112'!$I$6)),"x",""))</f>
        <v/>
      </c>
      <c r="U267" s="50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0" t="str">
        <f>IF(OR(TH!L267=TH!$V$7,M267=TH!$V$7),"x","")</f>
        <v/>
      </c>
      <c r="W267" s="50" t="str">
        <f>IF(AND(B267&gt;='IN-NX'!$P$3,B267&lt;='IN-NX'!$Q$3,'IN-NX'!$D$7=D267,OR(LEFT(L267,2)="15",AND(LEFT(M267,2)&lt;&gt;"15",LEFT(M267,2)&lt;&gt;"33"))),"x","")</f>
        <v/>
      </c>
      <c r="X267" s="50" t="str">
        <f>IF(AND(OR(LEFT(TH!L267,2)="15",LEFT(TH!M267,2)="15"),'152-CT'!$J$8=TH!F267),"x","")</f>
        <v/>
      </c>
      <c r="Y267" s="50" t="str">
        <f>IF(AND(OR(LEFT(TH!L267,2)="15",LEFT(TH!M267,2)="15"),TK!$E$7=TH!F267),"x","")</f>
        <v/>
      </c>
      <c r="Z267" s="50" t="str">
        <f>IF(AND(B267&lt;=NKC!$N$8,B267&gt;=NKC!$M$8),"x","")</f>
        <v/>
      </c>
      <c r="AA267" s="845"/>
      <c r="AB267" s="581"/>
    </row>
    <row r="268" spans="1:30" s="201" customFormat="1" ht="15.75" customHeight="1">
      <c r="A268" s="846" t="str">
        <f>IF(B268&lt;&gt;"",IF(AND(B268&gt;=_TM1,B268&lt;=_TM2,OR(TH!L268="1111",TH!M268="1111")),TH!D268,""),"")</f>
        <v/>
      </c>
      <c r="B268" s="36" t="str">
        <f t="shared" si="7"/>
        <v/>
      </c>
      <c r="C268" s="187"/>
      <c r="D268" s="187"/>
      <c r="E268" s="187"/>
      <c r="F268" s="188"/>
      <c r="G268" s="854"/>
      <c r="H268" s="189"/>
      <c r="I268" s="249"/>
      <c r="J268" s="249"/>
      <c r="K268" s="589"/>
      <c r="L268" s="590"/>
      <c r="M268" s="590"/>
      <c r="N268" s="50" t="str">
        <f>IF(AND('331-CT'!$E$7=TH!H268,OR(L268="331",M268="331")),"331",IF(AND(OR(L268="131",M268="131"),H268='131-CT'!$E$7),"131",""))</f>
        <v/>
      </c>
      <c r="O268" s="50" t="str">
        <f>IF(AND($B268&gt;='111'!$N$11,$B268&lt;='111'!$O$11,OR($L268=$O$7,$M268=$O$7)),"x","")</f>
        <v/>
      </c>
      <c r="P268" s="50" t="str">
        <f>IF(AND($L268=$O$7,$B268&lt;'111'!$N$11),"x","")</f>
        <v/>
      </c>
      <c r="Q268" s="50" t="str">
        <f>IF(AND($M268=$O$7,$B268&lt;'111'!$N$11),"x","")</f>
        <v/>
      </c>
      <c r="R268" s="50" t="str">
        <f>IF(ISERROR(FIND('112'!$M$9,G268,1)),"",IF((AND(FIND('112'!$M$9,G268,1)&gt;=1,$B268&gt;='112'!$N$8,$B268&lt;='112'!$O$8,OR($L268='112'!$I$6,$M268='112'!$I$6))),"x",""))</f>
        <v/>
      </c>
      <c r="S268" s="50" t="str">
        <f>IF(ISERROR(FIND('112'!$M$9,G268,1)),"",IF((AND(LEFT(G268,2)=LEFT('112'!$M$9,2),B268&lt;'112'!$N$8,$L268='112'!$I$6)),"x",""))</f>
        <v/>
      </c>
      <c r="T268" s="50" t="str">
        <f>IF(ISERROR(FIND('112'!$M$9,G268,1)),"",IF((AND(RIGHT(G268,2)=RIGHT('112'!$M$9,2),B268&lt;'112'!$N$8,$M268='112'!$I$6)),"x",""))</f>
        <v/>
      </c>
      <c r="U268" s="50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0" t="str">
        <f>IF(OR(TH!L268=TH!$V$7,M268=TH!$V$7),"x","")</f>
        <v/>
      </c>
      <c r="W268" s="50" t="str">
        <f>IF(AND(B268&gt;='IN-NX'!$P$3,B268&lt;='IN-NX'!$Q$3,'IN-NX'!$D$7=D268,OR(LEFT(L268,2)="15",AND(LEFT(M268,2)&lt;&gt;"15",LEFT(M268,2)&lt;&gt;"33"))),"x","")</f>
        <v/>
      </c>
      <c r="X268" s="50" t="str">
        <f>IF(AND(OR(LEFT(TH!L268,2)="15",LEFT(TH!M268,2)="15"),'152-CT'!$J$8=TH!F268),"x","")</f>
        <v/>
      </c>
      <c r="Y268" s="50" t="str">
        <f>IF(AND(OR(LEFT(TH!L268,2)="15",LEFT(TH!M268,2)="15"),TK!$E$7=TH!F268),"x","")</f>
        <v/>
      </c>
      <c r="Z268" s="50" t="str">
        <f>IF(AND(B268&lt;=NKC!$N$8,B268&gt;=NKC!$M$8),"x","")</f>
        <v/>
      </c>
      <c r="AA268" s="845"/>
      <c r="AB268" s="581"/>
    </row>
    <row r="269" spans="1:30" s="201" customFormat="1" ht="15.75" customHeight="1">
      <c r="A269" s="846" t="str">
        <f>IF(B269&lt;&gt;"",IF(AND(B269&gt;=_TM1,B269&lt;=_TM2,OR(TH!L269="1111",TH!M269="1111")),TH!D269,""),"")</f>
        <v/>
      </c>
      <c r="B269" s="36" t="str">
        <f t="shared" si="7"/>
        <v/>
      </c>
      <c r="C269" s="187"/>
      <c r="D269" s="187"/>
      <c r="E269" s="187"/>
      <c r="F269" s="188"/>
      <c r="G269" s="854"/>
      <c r="H269" s="189"/>
      <c r="I269" s="249"/>
      <c r="J269" s="249"/>
      <c r="K269" s="589"/>
      <c r="L269" s="590"/>
      <c r="M269" s="590"/>
      <c r="N269" s="50" t="str">
        <f>IF(AND('331-CT'!$E$7=TH!H269,OR(L269="331",M269="331")),"331",IF(AND(OR(L269="131",M269="131"),H269='131-CT'!$E$7),"131",""))</f>
        <v/>
      </c>
      <c r="O269" s="50" t="str">
        <f>IF(AND($B269&gt;='111'!$N$11,$B269&lt;='111'!$O$11,OR($L269=$O$7,$M269=$O$7)),"x","")</f>
        <v/>
      </c>
      <c r="P269" s="50" t="str">
        <f>IF(AND($L269=$O$7,$B269&lt;'111'!$N$11),"x","")</f>
        <v/>
      </c>
      <c r="Q269" s="50" t="str">
        <f>IF(AND($M269=$O$7,$B269&lt;'111'!$N$11),"x","")</f>
        <v/>
      </c>
      <c r="R269" s="50" t="str">
        <f>IF(ISERROR(FIND('112'!$M$9,G269,1)),"",IF((AND(FIND('112'!$M$9,G269,1)&gt;=1,$B269&gt;='112'!$N$8,$B269&lt;='112'!$O$8,OR($L269='112'!$I$6,$M269='112'!$I$6))),"x",""))</f>
        <v/>
      </c>
      <c r="S269" s="50" t="str">
        <f>IF(ISERROR(FIND('112'!$M$9,G269,1)),"",IF((AND(LEFT(G269,2)=LEFT('112'!$M$9,2),B269&lt;'112'!$N$8,$L269='112'!$I$6)),"x",""))</f>
        <v/>
      </c>
      <c r="T269" s="50" t="str">
        <f>IF(ISERROR(FIND('112'!$M$9,G269,1)),"",IF((AND(RIGHT(G269,2)=RIGHT('112'!$M$9,2),B269&lt;'112'!$N$8,$M269='112'!$I$6)),"x",""))</f>
        <v/>
      </c>
      <c r="U269" s="50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0" t="str">
        <f>IF(OR(TH!L269=TH!$V$7,M269=TH!$V$7),"x","")</f>
        <v/>
      </c>
      <c r="W269" s="50" t="str">
        <f>IF(AND(B269&gt;='IN-NX'!$P$3,B269&lt;='IN-NX'!$Q$3,'IN-NX'!$D$7=D269,OR(LEFT(L269,2)="15",AND(LEFT(M269,2)&lt;&gt;"15",LEFT(M269,2)&lt;&gt;"33"))),"x","")</f>
        <v/>
      </c>
      <c r="X269" s="50" t="str">
        <f>IF(AND(OR(LEFT(TH!L269,2)="15",LEFT(TH!M269,2)="15"),'152-CT'!$J$8=TH!F269),"x","")</f>
        <v/>
      </c>
      <c r="Y269" s="50" t="str">
        <f>IF(AND(OR(LEFT(TH!L269,2)="15",LEFT(TH!M269,2)="15"),TK!$E$7=TH!F269),"x","")</f>
        <v/>
      </c>
      <c r="Z269" s="50" t="str">
        <f>IF(AND(B269&lt;=NKC!$N$8,B269&gt;=NKC!$M$8),"x","")</f>
        <v/>
      </c>
      <c r="AA269" s="845"/>
      <c r="AB269" s="581"/>
    </row>
    <row r="270" spans="1:30" s="201" customFormat="1" ht="15.75" customHeight="1">
      <c r="A270" s="846" t="str">
        <f>IF(B270&lt;&gt;"",IF(AND(B270&gt;=_TM1,B270&lt;=_TM2,OR(TH!L270="1111",TH!M270="1111")),TH!D270,""),"")</f>
        <v/>
      </c>
      <c r="B270" s="36" t="str">
        <f t="shared" si="7"/>
        <v/>
      </c>
      <c r="C270" s="187"/>
      <c r="D270" s="187"/>
      <c r="E270" s="187"/>
      <c r="F270" s="188"/>
      <c r="G270" s="854"/>
      <c r="H270" s="189"/>
      <c r="I270" s="249"/>
      <c r="J270" s="249"/>
      <c r="K270" s="589"/>
      <c r="L270" s="590"/>
      <c r="M270" s="590"/>
      <c r="N270" s="50" t="str">
        <f>IF(AND('331-CT'!$E$7=TH!H270,OR(L270="331",M270="331")),"331",IF(AND(OR(L270="131",M270="131"),H270='131-CT'!$E$7),"131",""))</f>
        <v/>
      </c>
      <c r="O270" s="50" t="str">
        <f>IF(AND($B270&gt;='111'!$N$11,$B270&lt;='111'!$O$11,OR($L270=$O$7,$M270=$O$7)),"x","")</f>
        <v/>
      </c>
      <c r="P270" s="50" t="str">
        <f>IF(AND($L270=$O$7,$B270&lt;'111'!$N$11),"x","")</f>
        <v/>
      </c>
      <c r="Q270" s="50" t="str">
        <f>IF(AND($M270=$O$7,$B270&lt;'111'!$N$11),"x","")</f>
        <v/>
      </c>
      <c r="R270" s="50" t="str">
        <f>IF(ISERROR(FIND('112'!$M$9,G270,1)),"",IF((AND(FIND('112'!$M$9,G270,1)&gt;=1,$B270&gt;='112'!$N$8,$B270&lt;='112'!$O$8,OR($L270='112'!$I$6,$M270='112'!$I$6))),"x",""))</f>
        <v/>
      </c>
      <c r="S270" s="50" t="str">
        <f>IF(ISERROR(FIND('112'!$M$9,G270,1)),"",IF((AND(LEFT(G270,2)=LEFT('112'!$M$9,2),B270&lt;'112'!$N$8,$L270='112'!$I$6)),"x",""))</f>
        <v/>
      </c>
      <c r="T270" s="50" t="str">
        <f>IF(ISERROR(FIND('112'!$M$9,G270,1)),"",IF((AND(RIGHT(G270,2)=RIGHT('112'!$M$9,2),B270&lt;'112'!$N$8,$M270='112'!$I$6)),"x",""))</f>
        <v/>
      </c>
      <c r="U270" s="50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0" t="str">
        <f>IF(OR(TH!L270=TH!$V$7,M270=TH!$V$7),"x","")</f>
        <v/>
      </c>
      <c r="W270" s="50" t="str">
        <f>IF(AND(B270&gt;='IN-NX'!$P$3,B270&lt;='IN-NX'!$Q$3,'IN-NX'!$D$7=D270,OR(LEFT(L270,2)="15",AND(LEFT(M270,2)&lt;&gt;"15",LEFT(M270,2)&lt;&gt;"33"))),"x","")</f>
        <v/>
      </c>
      <c r="X270" s="50" t="str">
        <f>IF(AND(OR(LEFT(TH!L270,2)="15",LEFT(TH!M270,2)="15"),'152-CT'!$J$8=TH!F270),"x","")</f>
        <v/>
      </c>
      <c r="Y270" s="50" t="str">
        <f>IF(AND(OR(LEFT(TH!L270,2)="15",LEFT(TH!M270,2)="15"),TK!$E$7=TH!F270),"x","")</f>
        <v/>
      </c>
      <c r="Z270" s="50" t="str">
        <f>IF(AND(B270&lt;=NKC!$N$8,B270&gt;=NKC!$M$8),"x","")</f>
        <v/>
      </c>
      <c r="AA270" s="845"/>
      <c r="AB270" s="581"/>
      <c r="AC270" s="581"/>
      <c r="AD270" s="581"/>
    </row>
    <row r="271" spans="1:30" s="201" customFormat="1" ht="15.75" customHeight="1">
      <c r="A271" s="846" t="str">
        <f>IF(B271&lt;&gt;"",IF(AND(B271&gt;=_TM1,B271&lt;=_TM2,OR(TH!L271="1111",TH!M271="1111")),TH!D271,""),"")</f>
        <v/>
      </c>
      <c r="B271" s="36" t="str">
        <f t="shared" si="7"/>
        <v/>
      </c>
      <c r="C271" s="187"/>
      <c r="D271" s="187"/>
      <c r="E271" s="187"/>
      <c r="F271" s="188"/>
      <c r="G271" s="854"/>
      <c r="H271" s="189"/>
      <c r="I271" s="249"/>
      <c r="J271" s="249"/>
      <c r="K271" s="589"/>
      <c r="L271" s="590"/>
      <c r="M271" s="590"/>
      <c r="N271" s="50" t="str">
        <f>IF(AND('331-CT'!$E$7=TH!H271,OR(L271="331",M271="331")),"331",IF(AND(OR(L271="131",M271="131"),H271='131-CT'!$E$7),"131",""))</f>
        <v/>
      </c>
      <c r="O271" s="50" t="str">
        <f>IF(AND($B271&gt;='111'!$N$11,$B271&lt;='111'!$O$11,OR($L271=$O$7,$M271=$O$7)),"x","")</f>
        <v/>
      </c>
      <c r="P271" s="50" t="str">
        <f>IF(AND($L271=$O$7,$B271&lt;'111'!$N$11),"x","")</f>
        <v/>
      </c>
      <c r="Q271" s="50" t="str">
        <f>IF(AND($M271=$O$7,$B271&lt;'111'!$N$11),"x","")</f>
        <v/>
      </c>
      <c r="R271" s="50" t="str">
        <f>IF(ISERROR(FIND('112'!$M$9,G271,1)),"",IF((AND(FIND('112'!$M$9,G271,1)&gt;=1,$B271&gt;='112'!$N$8,$B271&lt;='112'!$O$8,OR($L271='112'!$I$6,$M271='112'!$I$6))),"x",""))</f>
        <v/>
      </c>
      <c r="S271" s="50" t="str">
        <f>IF(ISERROR(FIND('112'!$M$9,G271,1)),"",IF((AND(LEFT(G271,2)=LEFT('112'!$M$9,2),B271&lt;'112'!$N$8,$L271='112'!$I$6)),"x",""))</f>
        <v/>
      </c>
      <c r="T271" s="50" t="str">
        <f>IF(ISERROR(FIND('112'!$M$9,G271,1)),"",IF((AND(RIGHT(G271,2)=RIGHT('112'!$M$9,2),B271&lt;'112'!$N$8,$M271='112'!$I$6)),"x",""))</f>
        <v/>
      </c>
      <c r="U271" s="50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0" t="str">
        <f>IF(OR(TH!L271=TH!$V$7,M271=TH!$V$7),"x","")</f>
        <v/>
      </c>
      <c r="W271" s="50" t="str">
        <f>IF(AND(B271&gt;='IN-NX'!$P$3,B271&lt;='IN-NX'!$Q$3,'IN-NX'!$D$7=D271,OR(LEFT(L271,2)="15",AND(LEFT(M271,2)&lt;&gt;"15",LEFT(M271,2)&lt;&gt;"33"))),"x","")</f>
        <v/>
      </c>
      <c r="X271" s="50" t="str">
        <f>IF(AND(OR(LEFT(TH!L271,2)="15",LEFT(TH!M271,2)="15"),'152-CT'!$J$8=TH!F271),"x","")</f>
        <v/>
      </c>
      <c r="Y271" s="50" t="str">
        <f>IF(AND(OR(LEFT(TH!L271,2)="15",LEFT(TH!M271,2)="15"),TK!$E$7=TH!F271),"x","")</f>
        <v/>
      </c>
      <c r="Z271" s="50" t="str">
        <f>IF(AND(B271&lt;=NKC!$N$8,B271&gt;=NKC!$M$8),"x","")</f>
        <v/>
      </c>
      <c r="AA271" s="845"/>
      <c r="AB271" s="581"/>
      <c r="AC271" s="581"/>
      <c r="AD271" s="581"/>
    </row>
    <row r="272" spans="1:30" s="201" customFormat="1" ht="15.75" customHeight="1">
      <c r="A272" s="846" t="str">
        <f>IF(B272&lt;&gt;"",IF(AND(B272&gt;=_TM1,B272&lt;=_TM2,OR(TH!L272="1111",TH!M272="1111")),TH!D272,""),"")</f>
        <v/>
      </c>
      <c r="B272" s="36" t="str">
        <f t="shared" si="7"/>
        <v/>
      </c>
      <c r="C272" s="187"/>
      <c r="D272" s="187"/>
      <c r="E272" s="187"/>
      <c r="F272" s="188"/>
      <c r="G272" s="854"/>
      <c r="H272" s="189"/>
      <c r="I272" s="249"/>
      <c r="J272" s="249"/>
      <c r="K272" s="589"/>
      <c r="L272" s="590"/>
      <c r="M272" s="590"/>
      <c r="N272" s="50" t="str">
        <f>IF(AND('331-CT'!$E$7=TH!H272,OR(L272="331",M272="331")),"331",IF(AND(OR(L272="131",M272="131"),H272='131-CT'!$E$7),"131",""))</f>
        <v/>
      </c>
      <c r="O272" s="50" t="str">
        <f>IF(AND($B272&gt;='111'!$N$11,$B272&lt;='111'!$O$11,OR($L272=$O$7,$M272=$O$7)),"x","")</f>
        <v/>
      </c>
      <c r="P272" s="50" t="str">
        <f>IF(AND($L272=$O$7,$B272&lt;'111'!$N$11),"x","")</f>
        <v/>
      </c>
      <c r="Q272" s="50" t="str">
        <f>IF(AND($M272=$O$7,$B272&lt;'111'!$N$11),"x","")</f>
        <v/>
      </c>
      <c r="R272" s="50" t="str">
        <f>IF(ISERROR(FIND('112'!$M$9,G272,1)),"",IF((AND(FIND('112'!$M$9,G272,1)&gt;=1,$B272&gt;='112'!$N$8,$B272&lt;='112'!$O$8,OR($L272='112'!$I$6,$M272='112'!$I$6))),"x",""))</f>
        <v/>
      </c>
      <c r="S272" s="50" t="str">
        <f>IF(ISERROR(FIND('112'!$M$9,G272,1)),"",IF((AND(LEFT(G272,2)=LEFT('112'!$M$9,2),B272&lt;'112'!$N$8,$L272='112'!$I$6)),"x",""))</f>
        <v/>
      </c>
      <c r="T272" s="50" t="str">
        <f>IF(ISERROR(FIND('112'!$M$9,G272,1)),"",IF((AND(RIGHT(G272,2)=RIGHT('112'!$M$9,2),B272&lt;'112'!$N$8,$M272='112'!$I$6)),"x",""))</f>
        <v/>
      </c>
      <c r="U272" s="50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0" t="str">
        <f>IF(OR(TH!L272=TH!$V$7,M272=TH!$V$7),"x","")</f>
        <v/>
      </c>
      <c r="W272" s="50" t="str">
        <f>IF(AND(B272&gt;='IN-NX'!$P$3,B272&lt;='IN-NX'!$Q$3,'IN-NX'!$D$7=D272,OR(LEFT(L272,2)="15",AND(LEFT(M272,2)&lt;&gt;"15",LEFT(M272,2)&lt;&gt;"33"))),"x","")</f>
        <v/>
      </c>
      <c r="X272" s="50" t="str">
        <f>IF(AND(OR(LEFT(TH!L272,2)="15",LEFT(TH!M272,2)="15"),'152-CT'!$J$8=TH!F272),"x","")</f>
        <v/>
      </c>
      <c r="Y272" s="50" t="str">
        <f>IF(AND(OR(LEFT(TH!L272,2)="15",LEFT(TH!M272,2)="15"),TK!$E$7=TH!F272),"x","")</f>
        <v/>
      </c>
      <c r="Z272" s="50" t="str">
        <f>IF(AND(B272&lt;=NKC!$N$8,B272&gt;=NKC!$M$8),"x","")</f>
        <v/>
      </c>
      <c r="AA272" s="845"/>
      <c r="AB272" s="581"/>
      <c r="AD272" s="581"/>
    </row>
    <row r="273" spans="1:28" s="201" customFormat="1" ht="15.75" customHeight="1">
      <c r="A273" s="846" t="str">
        <f>IF(B273&lt;&gt;"",IF(AND(B273&gt;=_TM1,B273&lt;=_TM2,OR(TH!L273="1111",TH!M273="1111")),TH!D273,""),"")</f>
        <v/>
      </c>
      <c r="B273" s="36" t="str">
        <f t="shared" si="7"/>
        <v/>
      </c>
      <c r="C273" s="187"/>
      <c r="D273" s="187"/>
      <c r="E273" s="187"/>
      <c r="F273" s="188"/>
      <c r="G273" s="854"/>
      <c r="H273" s="189"/>
      <c r="I273" s="249"/>
      <c r="J273" s="249"/>
      <c r="K273" s="589"/>
      <c r="L273" s="590"/>
      <c r="M273" s="590"/>
      <c r="N273" s="50" t="str">
        <f>IF(AND('331-CT'!$E$7=TH!H273,OR(L273="331",M273="331")),"331",IF(AND(OR(L273="131",M273="131"),H273='131-CT'!$E$7),"131",""))</f>
        <v/>
      </c>
      <c r="O273" s="50" t="str">
        <f>IF(AND($B273&gt;='111'!$N$11,$B273&lt;='111'!$O$11,OR($L273=$O$7,$M273=$O$7)),"x","")</f>
        <v/>
      </c>
      <c r="P273" s="50" t="str">
        <f>IF(AND($L273=$O$7,$B273&lt;'111'!$N$11),"x","")</f>
        <v/>
      </c>
      <c r="Q273" s="50" t="str">
        <f>IF(AND($M273=$O$7,$B273&lt;'111'!$N$11),"x","")</f>
        <v/>
      </c>
      <c r="R273" s="50" t="str">
        <f>IF(ISERROR(FIND('112'!$M$9,G273,1)),"",IF((AND(FIND('112'!$M$9,G273,1)&gt;=1,$B273&gt;='112'!$N$8,$B273&lt;='112'!$O$8,OR($L273='112'!$I$6,$M273='112'!$I$6))),"x",""))</f>
        <v/>
      </c>
      <c r="S273" s="50" t="str">
        <f>IF(ISERROR(FIND('112'!$M$9,G273,1)),"",IF((AND(LEFT(G273,2)=LEFT('112'!$M$9,2),B273&lt;'112'!$N$8,$L273='112'!$I$6)),"x",""))</f>
        <v/>
      </c>
      <c r="T273" s="50" t="str">
        <f>IF(ISERROR(FIND('112'!$M$9,G273,1)),"",IF((AND(RIGHT(G273,2)=RIGHT('112'!$M$9,2),B273&lt;'112'!$N$8,$M273='112'!$I$6)),"x",""))</f>
        <v/>
      </c>
      <c r="U273" s="50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0" t="str">
        <f>IF(OR(TH!L273=TH!$V$7,M273=TH!$V$7),"x","")</f>
        <v/>
      </c>
      <c r="W273" s="50" t="str">
        <f>IF(AND(B273&gt;='IN-NX'!$P$3,B273&lt;='IN-NX'!$Q$3,'IN-NX'!$D$7=D273,OR(LEFT(L273,2)="15",AND(LEFT(M273,2)&lt;&gt;"15",LEFT(M273,2)&lt;&gt;"33"))),"x","")</f>
        <v/>
      </c>
      <c r="X273" s="50" t="str">
        <f>IF(AND(OR(LEFT(TH!L273,2)="15",LEFT(TH!M273,2)="15"),'152-CT'!$J$8=TH!F273),"x","")</f>
        <v/>
      </c>
      <c r="Y273" s="50" t="str">
        <f>IF(AND(OR(LEFT(TH!L273,2)="15",LEFT(TH!M273,2)="15"),TK!$E$7=TH!F273),"x","")</f>
        <v/>
      </c>
      <c r="Z273" s="50" t="str">
        <f>IF(AND(B273&lt;=NKC!$N$8,B273&gt;=NKC!$M$8),"x","")</f>
        <v/>
      </c>
      <c r="AA273" s="845"/>
      <c r="AB273" s="581"/>
    </row>
    <row r="274" spans="1:28" s="201" customFormat="1" ht="15.75" customHeight="1">
      <c r="A274" s="846" t="str">
        <f>IF(B274&lt;&gt;"",IF(AND(B274&gt;=_TM1,B274&lt;=_TM2,OR(TH!L274="1111",TH!M274="1111")),TH!D274,""),"")</f>
        <v/>
      </c>
      <c r="B274" s="36" t="str">
        <f t="shared" si="7"/>
        <v/>
      </c>
      <c r="C274" s="187"/>
      <c r="D274" s="187"/>
      <c r="E274" s="187"/>
      <c r="F274" s="188"/>
      <c r="G274" s="854"/>
      <c r="H274" s="189"/>
      <c r="I274" s="249"/>
      <c r="J274" s="249"/>
      <c r="K274" s="589"/>
      <c r="L274" s="590"/>
      <c r="M274" s="590"/>
      <c r="N274" s="50" t="str">
        <f>IF(AND('331-CT'!$E$7=TH!H274,OR(L274="331",M274="331")),"331",IF(AND(OR(L274="131",M274="131"),H274='131-CT'!$E$7),"131",""))</f>
        <v/>
      </c>
      <c r="O274" s="50" t="str">
        <f>IF(AND($B274&gt;='111'!$N$11,$B274&lt;='111'!$O$11,OR($L274=$O$7,$M274=$O$7)),"x","")</f>
        <v/>
      </c>
      <c r="P274" s="50" t="str">
        <f>IF(AND($L274=$O$7,$B274&lt;'111'!$N$11),"x","")</f>
        <v/>
      </c>
      <c r="Q274" s="50" t="str">
        <f>IF(AND($M274=$O$7,$B274&lt;'111'!$N$11),"x","")</f>
        <v/>
      </c>
      <c r="R274" s="50" t="str">
        <f>IF(ISERROR(FIND('112'!$M$9,G274,1)),"",IF((AND(FIND('112'!$M$9,G274,1)&gt;=1,$B274&gt;='112'!$N$8,$B274&lt;='112'!$O$8,OR($L274='112'!$I$6,$M274='112'!$I$6))),"x",""))</f>
        <v/>
      </c>
      <c r="S274" s="50" t="str">
        <f>IF(ISERROR(FIND('112'!$M$9,G274,1)),"",IF((AND(LEFT(G274,2)=LEFT('112'!$M$9,2),B274&lt;'112'!$N$8,$L274='112'!$I$6)),"x",""))</f>
        <v/>
      </c>
      <c r="T274" s="50" t="str">
        <f>IF(ISERROR(FIND('112'!$M$9,G274,1)),"",IF((AND(RIGHT(G274,2)=RIGHT('112'!$M$9,2),B274&lt;'112'!$N$8,$M274='112'!$I$6)),"x",""))</f>
        <v/>
      </c>
      <c r="U274" s="50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0" t="str">
        <f>IF(OR(TH!L274=TH!$V$7,M274=TH!$V$7),"x","")</f>
        <v/>
      </c>
      <c r="W274" s="50" t="str">
        <f>IF(AND(B274&gt;='IN-NX'!$P$3,B274&lt;='IN-NX'!$Q$3,'IN-NX'!$D$7=D274,OR(LEFT(L274,2)="15",AND(LEFT(M274,2)&lt;&gt;"15",LEFT(M274,2)&lt;&gt;"33"))),"x","")</f>
        <v/>
      </c>
      <c r="X274" s="50" t="str">
        <f>IF(AND(OR(LEFT(TH!L274,2)="15",LEFT(TH!M274,2)="15"),'152-CT'!$J$8=TH!F274),"x","")</f>
        <v/>
      </c>
      <c r="Y274" s="50" t="str">
        <f>IF(AND(OR(LEFT(TH!L274,2)="15",LEFT(TH!M274,2)="15"),TK!$E$7=TH!F274),"x","")</f>
        <v/>
      </c>
      <c r="Z274" s="50" t="str">
        <f>IF(AND(B274&lt;=NKC!$N$8,B274&gt;=NKC!$M$8),"x","")</f>
        <v/>
      </c>
      <c r="AA274" s="845"/>
      <c r="AB274" s="581"/>
    </row>
    <row r="275" spans="1:28" s="201" customFormat="1" ht="15.75" customHeight="1">
      <c r="A275" s="846" t="str">
        <f>IF(B275&lt;&gt;"",IF(AND(B275&gt;=_TM1,B275&lt;=_TM2,OR(TH!L275="1111",TH!M275="1111")),TH!D275,""),"")</f>
        <v/>
      </c>
      <c r="B275" s="36" t="str">
        <f t="shared" si="7"/>
        <v/>
      </c>
      <c r="C275" s="187"/>
      <c r="D275" s="187"/>
      <c r="E275" s="187"/>
      <c r="F275" s="188"/>
      <c r="G275" s="854"/>
      <c r="H275" s="189"/>
      <c r="I275" s="249"/>
      <c r="J275" s="249"/>
      <c r="K275" s="589"/>
      <c r="L275" s="590"/>
      <c r="M275" s="590"/>
      <c r="N275" s="50" t="str">
        <f>IF(AND('331-CT'!$E$7=TH!H275,OR(L275="331",M275="331")),"331",IF(AND(OR(L275="131",M275="131"),H275='131-CT'!$E$7),"131",""))</f>
        <v/>
      </c>
      <c r="O275" s="50" t="str">
        <f>IF(AND($B275&gt;='111'!$N$11,$B275&lt;='111'!$O$11,OR($L275=$O$7,$M275=$O$7)),"x","")</f>
        <v/>
      </c>
      <c r="P275" s="50" t="str">
        <f>IF(AND($L275=$O$7,$B275&lt;'111'!$N$11),"x","")</f>
        <v/>
      </c>
      <c r="Q275" s="50" t="str">
        <f>IF(AND($M275=$O$7,$B275&lt;'111'!$N$11),"x","")</f>
        <v/>
      </c>
      <c r="R275" s="50" t="str">
        <f>IF(ISERROR(FIND('112'!$M$9,G275,1)),"",IF((AND(FIND('112'!$M$9,G275,1)&gt;=1,$B275&gt;='112'!$N$8,$B275&lt;='112'!$O$8,OR($L275='112'!$I$6,$M275='112'!$I$6))),"x",""))</f>
        <v/>
      </c>
      <c r="S275" s="50" t="str">
        <f>IF(ISERROR(FIND('112'!$M$9,G275,1)),"",IF((AND(LEFT(G275,2)=LEFT('112'!$M$9,2),B275&lt;'112'!$N$8,$L275='112'!$I$6)),"x",""))</f>
        <v/>
      </c>
      <c r="T275" s="50" t="str">
        <f>IF(ISERROR(FIND('112'!$M$9,G275,1)),"",IF((AND(RIGHT(G275,2)=RIGHT('112'!$M$9,2),B275&lt;'112'!$N$8,$M275='112'!$I$6)),"x",""))</f>
        <v/>
      </c>
      <c r="U275" s="50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0" t="str">
        <f>IF(OR(TH!L275=TH!$V$7,M275=TH!$V$7),"x","")</f>
        <v/>
      </c>
      <c r="W275" s="50" t="str">
        <f>IF(AND(B275&gt;='IN-NX'!$P$3,B275&lt;='IN-NX'!$Q$3,'IN-NX'!$D$7=D275,OR(LEFT(L275,2)="15",AND(LEFT(M275,2)&lt;&gt;"15",LEFT(M275,2)&lt;&gt;"33"))),"x","")</f>
        <v/>
      </c>
      <c r="X275" s="50" t="str">
        <f>IF(AND(OR(LEFT(TH!L275,2)="15",LEFT(TH!M275,2)="15"),'152-CT'!$J$8=TH!F275),"x","")</f>
        <v/>
      </c>
      <c r="Y275" s="50" t="str">
        <f>IF(AND(OR(LEFT(TH!L275,2)="15",LEFT(TH!M275,2)="15"),TK!$E$7=TH!F275),"x","")</f>
        <v/>
      </c>
      <c r="Z275" s="50" t="str">
        <f>IF(AND(B275&lt;=NKC!$N$8,B275&gt;=NKC!$M$8),"x","")</f>
        <v/>
      </c>
      <c r="AA275" s="845"/>
      <c r="AB275" s="581"/>
    </row>
    <row r="276" spans="1:28" s="201" customFormat="1" ht="15.75" customHeight="1">
      <c r="A276" s="846" t="str">
        <f>IF(B276&lt;&gt;"",IF(AND(B276&gt;=_TM1,B276&lt;=_TM2,OR(TH!L276="1111",TH!M276="1111")),TH!D276,""),"")</f>
        <v/>
      </c>
      <c r="B276" s="36" t="str">
        <f t="shared" si="7"/>
        <v/>
      </c>
      <c r="C276" s="187"/>
      <c r="D276" s="187"/>
      <c r="E276" s="187"/>
      <c r="F276" s="188"/>
      <c r="G276" s="854"/>
      <c r="H276" s="189"/>
      <c r="I276" s="249"/>
      <c r="J276" s="249"/>
      <c r="K276" s="589"/>
      <c r="L276" s="590"/>
      <c r="M276" s="590"/>
      <c r="N276" s="50" t="str">
        <f>IF(AND('331-CT'!$E$7=TH!H276,OR(L276="331",M276="331")),"331",IF(AND(OR(L276="131",M276="131"),H276='131-CT'!$E$7),"131",""))</f>
        <v/>
      </c>
      <c r="O276" s="50" t="str">
        <f>IF(AND($B276&gt;='111'!$N$11,$B276&lt;='111'!$O$11,OR($L276=$O$7,$M276=$O$7)),"x","")</f>
        <v/>
      </c>
      <c r="P276" s="50" t="str">
        <f>IF(AND($L276=$O$7,$B276&lt;'111'!$N$11),"x","")</f>
        <v/>
      </c>
      <c r="Q276" s="50" t="str">
        <f>IF(AND($M276=$O$7,$B276&lt;'111'!$N$11),"x","")</f>
        <v/>
      </c>
      <c r="R276" s="50" t="str">
        <f>IF(ISERROR(FIND('112'!$M$9,G276,1)),"",IF((AND(FIND('112'!$M$9,G276,1)&gt;=1,$B276&gt;='112'!$N$8,$B276&lt;='112'!$O$8,OR($L276='112'!$I$6,$M276='112'!$I$6))),"x",""))</f>
        <v/>
      </c>
      <c r="S276" s="50" t="str">
        <f>IF(ISERROR(FIND('112'!$M$9,G276,1)),"",IF((AND(LEFT(G276,2)=LEFT('112'!$M$9,2),B276&lt;'112'!$N$8,$L276='112'!$I$6)),"x",""))</f>
        <v/>
      </c>
      <c r="T276" s="50" t="str">
        <f>IF(ISERROR(FIND('112'!$M$9,G276,1)),"",IF((AND(RIGHT(G276,2)=RIGHT('112'!$M$9,2),B276&lt;'112'!$N$8,$M276='112'!$I$6)),"x",""))</f>
        <v/>
      </c>
      <c r="U276" s="50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0" t="str">
        <f>IF(OR(TH!L276=TH!$V$7,M276=TH!$V$7),"x","")</f>
        <v/>
      </c>
      <c r="W276" s="50" t="str">
        <f>IF(AND(B276&gt;='IN-NX'!$P$3,B276&lt;='IN-NX'!$Q$3,'IN-NX'!$D$7=D276,OR(LEFT(L276,2)="15",AND(LEFT(M276,2)&lt;&gt;"15",LEFT(M276,2)&lt;&gt;"33"))),"x","")</f>
        <v/>
      </c>
      <c r="X276" s="50" t="str">
        <f>IF(AND(OR(LEFT(TH!L276,2)="15",LEFT(TH!M276,2)="15"),'152-CT'!$J$8=TH!F276),"x","")</f>
        <v/>
      </c>
      <c r="Y276" s="50" t="str">
        <f>IF(AND(OR(LEFT(TH!L276,2)="15",LEFT(TH!M276,2)="15"),TK!$E$7=TH!F276),"x","")</f>
        <v/>
      </c>
      <c r="Z276" s="50" t="str">
        <f>IF(AND(B276&lt;=NKC!$N$8,B276&gt;=NKC!$M$8),"x","")</f>
        <v/>
      </c>
      <c r="AA276" s="845"/>
      <c r="AB276" s="581"/>
    </row>
    <row r="277" spans="1:28" s="201" customFormat="1" ht="15.75" customHeight="1">
      <c r="A277" s="846" t="str">
        <f>IF(B277&lt;&gt;"",IF(AND(B277&gt;=_TM1,B277&lt;=_TM2,OR(TH!L277="1111",TH!M277="1111")),TH!D277,""),"")</f>
        <v/>
      </c>
      <c r="B277" s="36" t="str">
        <f t="shared" si="7"/>
        <v/>
      </c>
      <c r="C277" s="187"/>
      <c r="D277" s="187"/>
      <c r="E277" s="187"/>
      <c r="F277" s="188"/>
      <c r="G277" s="854"/>
      <c r="H277" s="189"/>
      <c r="I277" s="249"/>
      <c r="J277" s="249"/>
      <c r="K277" s="589"/>
      <c r="L277" s="590"/>
      <c r="M277" s="590"/>
      <c r="N277" s="50" t="str">
        <f>IF(AND('331-CT'!$E$7=TH!H277,OR(L277="331",M277="331")),"331",IF(AND(OR(L277="131",M277="131"),H277='131-CT'!$E$7),"131",""))</f>
        <v/>
      </c>
      <c r="O277" s="50" t="str">
        <f>IF(AND($B277&gt;='111'!$N$11,$B277&lt;='111'!$O$11,OR($L277=$O$7,$M277=$O$7)),"x","")</f>
        <v/>
      </c>
      <c r="P277" s="50" t="str">
        <f>IF(AND($L277=$O$7,$B277&lt;'111'!$N$11),"x","")</f>
        <v/>
      </c>
      <c r="Q277" s="50" t="str">
        <f>IF(AND($M277=$O$7,$B277&lt;'111'!$N$11),"x","")</f>
        <v/>
      </c>
      <c r="R277" s="50" t="str">
        <f>IF(ISERROR(FIND('112'!$M$9,G277,1)),"",IF((AND(FIND('112'!$M$9,G277,1)&gt;=1,$B277&gt;='112'!$N$8,$B277&lt;='112'!$O$8,OR($L277='112'!$I$6,$M277='112'!$I$6))),"x",""))</f>
        <v/>
      </c>
      <c r="S277" s="50" t="str">
        <f>IF(ISERROR(FIND('112'!$M$9,G277,1)),"",IF((AND(LEFT(G277,2)=LEFT('112'!$M$9,2),B277&lt;'112'!$N$8,$L277='112'!$I$6)),"x",""))</f>
        <v/>
      </c>
      <c r="T277" s="50" t="str">
        <f>IF(ISERROR(FIND('112'!$M$9,G277,1)),"",IF((AND(RIGHT(G277,2)=RIGHT('112'!$M$9,2),B277&lt;'112'!$N$8,$M277='112'!$I$6)),"x",""))</f>
        <v/>
      </c>
      <c r="U277" s="50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0" t="str">
        <f>IF(OR(TH!L277=TH!$V$7,M277=TH!$V$7),"x","")</f>
        <v/>
      </c>
      <c r="W277" s="50" t="str">
        <f>IF(AND(B277&gt;='IN-NX'!$P$3,B277&lt;='IN-NX'!$Q$3,'IN-NX'!$D$7=D277,OR(LEFT(L277,2)="15",AND(LEFT(M277,2)&lt;&gt;"15",LEFT(M277,2)&lt;&gt;"33"))),"x","")</f>
        <v/>
      </c>
      <c r="X277" s="50" t="str">
        <f>IF(AND(OR(LEFT(TH!L277,2)="15",LEFT(TH!M277,2)="15"),'152-CT'!$J$8=TH!F277),"x","")</f>
        <v/>
      </c>
      <c r="Y277" s="50" t="str">
        <f>IF(AND(OR(LEFT(TH!L277,2)="15",LEFT(TH!M277,2)="15"),TK!$E$7=TH!F277),"x","")</f>
        <v/>
      </c>
      <c r="Z277" s="50" t="str">
        <f>IF(AND(B277&lt;=NKC!$N$8,B277&gt;=NKC!$M$8),"x","")</f>
        <v/>
      </c>
      <c r="AA277" s="845"/>
      <c r="AB277" s="581"/>
    </row>
    <row r="278" spans="1:28" s="201" customFormat="1" ht="15.75" customHeight="1">
      <c r="A278" s="846" t="str">
        <f>IF(B278&lt;&gt;"",IF(AND(B278&gt;=_TM1,B278&lt;=_TM2,OR(TH!L278="1111",TH!M278="1111")),TH!D278,""),"")</f>
        <v/>
      </c>
      <c r="B278" s="36" t="str">
        <f t="shared" si="7"/>
        <v/>
      </c>
      <c r="C278" s="187"/>
      <c r="D278" s="187"/>
      <c r="E278" s="187"/>
      <c r="F278" s="188"/>
      <c r="G278" s="854"/>
      <c r="H278" s="189"/>
      <c r="I278" s="249"/>
      <c r="J278" s="249"/>
      <c r="K278" s="589"/>
      <c r="L278" s="590"/>
      <c r="M278" s="590"/>
      <c r="N278" s="50" t="str">
        <f>IF(AND('331-CT'!$E$7=TH!H278,OR(L278="331",M278="331")),"331",IF(AND(OR(L278="131",M278="131"),H278='131-CT'!$E$7),"131",""))</f>
        <v/>
      </c>
      <c r="O278" s="50" t="str">
        <f>IF(AND($B278&gt;='111'!$N$11,$B278&lt;='111'!$O$11,OR($L278=$O$7,$M278=$O$7)),"x","")</f>
        <v/>
      </c>
      <c r="P278" s="50" t="str">
        <f>IF(AND($L278=$O$7,$B278&lt;'111'!$N$11),"x","")</f>
        <v/>
      </c>
      <c r="Q278" s="50" t="str">
        <f>IF(AND($M278=$O$7,$B278&lt;'111'!$N$11),"x","")</f>
        <v/>
      </c>
      <c r="R278" s="50" t="str">
        <f>IF(ISERROR(FIND('112'!$M$9,G278,1)),"",IF((AND(FIND('112'!$M$9,G278,1)&gt;=1,$B278&gt;='112'!$N$8,$B278&lt;='112'!$O$8,OR($L278='112'!$I$6,$M278='112'!$I$6))),"x",""))</f>
        <v/>
      </c>
      <c r="S278" s="50" t="str">
        <f>IF(ISERROR(FIND('112'!$M$9,G278,1)),"",IF((AND(LEFT(G278,2)=LEFT('112'!$M$9,2),B278&lt;'112'!$N$8,$L278='112'!$I$6)),"x",""))</f>
        <v/>
      </c>
      <c r="T278" s="50" t="str">
        <f>IF(ISERROR(FIND('112'!$M$9,G278,1)),"",IF((AND(RIGHT(G278,2)=RIGHT('112'!$M$9,2),B278&lt;'112'!$N$8,$M278='112'!$I$6)),"x",""))</f>
        <v/>
      </c>
      <c r="U278" s="50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0" t="str">
        <f>IF(OR(TH!L278=TH!$V$7,M278=TH!$V$7),"x","")</f>
        <v/>
      </c>
      <c r="W278" s="50" t="str">
        <f>IF(AND(B278&gt;='IN-NX'!$P$3,B278&lt;='IN-NX'!$Q$3,'IN-NX'!$D$7=D278,OR(LEFT(L278,2)="15",AND(LEFT(M278,2)&lt;&gt;"15",LEFT(M278,2)&lt;&gt;"33"))),"x","")</f>
        <v/>
      </c>
      <c r="X278" s="50" t="str">
        <f>IF(AND(OR(LEFT(TH!L278,2)="15",LEFT(TH!M278,2)="15"),'152-CT'!$J$8=TH!F278),"x","")</f>
        <v/>
      </c>
      <c r="Y278" s="50" t="str">
        <f>IF(AND(OR(LEFT(TH!L278,2)="15",LEFT(TH!M278,2)="15"),TK!$E$7=TH!F278),"x","")</f>
        <v/>
      </c>
      <c r="Z278" s="50" t="str">
        <f>IF(AND(B278&lt;=NKC!$N$8,B278&gt;=NKC!$M$8),"x","")</f>
        <v/>
      </c>
      <c r="AA278" s="845"/>
      <c r="AB278" s="581"/>
    </row>
    <row r="279" spans="1:28" s="201" customFormat="1" ht="15.75" customHeight="1">
      <c r="A279" s="846" t="str">
        <f>IF(B279&lt;&gt;"",IF(AND(B279&gt;=_TM1,B279&lt;=_TM2,OR(TH!L279="1111",TH!M279="1111")),TH!D279,""),"")</f>
        <v/>
      </c>
      <c r="B279" s="36" t="str">
        <f t="shared" si="7"/>
        <v/>
      </c>
      <c r="C279" s="187"/>
      <c r="D279" s="187"/>
      <c r="E279" s="187"/>
      <c r="F279" s="188"/>
      <c r="G279" s="854"/>
      <c r="H279" s="189"/>
      <c r="I279" s="249"/>
      <c r="J279" s="249"/>
      <c r="K279" s="589"/>
      <c r="L279" s="590"/>
      <c r="M279" s="590"/>
      <c r="N279" s="50" t="str">
        <f>IF(AND('331-CT'!$E$7=TH!H279,OR(L279="331",M279="331")),"331",IF(AND(OR(L279="131",M279="131"),H279='131-CT'!$E$7),"131",""))</f>
        <v/>
      </c>
      <c r="O279" s="50" t="str">
        <f>IF(AND($B279&gt;='111'!$N$11,$B279&lt;='111'!$O$11,OR($L279=$O$7,$M279=$O$7)),"x","")</f>
        <v/>
      </c>
      <c r="P279" s="50" t="str">
        <f>IF(AND($L279=$O$7,$B279&lt;'111'!$N$11),"x","")</f>
        <v/>
      </c>
      <c r="Q279" s="50" t="str">
        <f>IF(AND($M279=$O$7,$B279&lt;'111'!$N$11),"x","")</f>
        <v/>
      </c>
      <c r="R279" s="50" t="str">
        <f>IF(ISERROR(FIND('112'!$M$9,G279,1)),"",IF((AND(FIND('112'!$M$9,G279,1)&gt;=1,$B279&gt;='112'!$N$8,$B279&lt;='112'!$O$8,OR($L279='112'!$I$6,$M279='112'!$I$6))),"x",""))</f>
        <v/>
      </c>
      <c r="S279" s="50" t="str">
        <f>IF(ISERROR(FIND('112'!$M$9,G279,1)),"",IF((AND(LEFT(G279,2)=LEFT('112'!$M$9,2),B279&lt;'112'!$N$8,$L279='112'!$I$6)),"x",""))</f>
        <v/>
      </c>
      <c r="T279" s="50" t="str">
        <f>IF(ISERROR(FIND('112'!$M$9,G279,1)),"",IF((AND(RIGHT(G279,2)=RIGHT('112'!$M$9,2),B279&lt;'112'!$N$8,$M279='112'!$I$6)),"x",""))</f>
        <v/>
      </c>
      <c r="U279" s="50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0" t="str">
        <f>IF(OR(TH!L279=TH!$V$7,M279=TH!$V$7),"x","")</f>
        <v/>
      </c>
      <c r="W279" s="50" t="str">
        <f>IF(AND(B279&gt;='IN-NX'!$P$3,B279&lt;='IN-NX'!$Q$3,'IN-NX'!$D$7=D279,OR(LEFT(L279,2)="15",AND(LEFT(M279,2)&lt;&gt;"15",LEFT(M279,2)&lt;&gt;"33"))),"x","")</f>
        <v/>
      </c>
      <c r="X279" s="50" t="str">
        <f>IF(AND(OR(LEFT(TH!L279,2)="15",LEFT(TH!M279,2)="15"),'152-CT'!$J$8=TH!F279),"x","")</f>
        <v/>
      </c>
      <c r="Y279" s="50" t="str">
        <f>IF(AND(OR(LEFT(TH!L279,2)="15",LEFT(TH!M279,2)="15"),TK!$E$7=TH!F279),"x","")</f>
        <v/>
      </c>
      <c r="Z279" s="50" t="str">
        <f>IF(AND(B279&lt;=NKC!$N$8,B279&gt;=NKC!$M$8),"x","")</f>
        <v/>
      </c>
      <c r="AA279" s="845"/>
      <c r="AB279" s="581"/>
    </row>
    <row r="280" spans="1:28" s="201" customFormat="1" ht="15.75" customHeight="1">
      <c r="A280" s="846" t="str">
        <f>IF(B280&lt;&gt;"",IF(AND(B280&gt;=_TM1,B280&lt;=_TM2,OR(TH!L280="1111",TH!M280="1111")),TH!D280,""),"")</f>
        <v/>
      </c>
      <c r="B280" s="36" t="str">
        <f t="shared" si="7"/>
        <v/>
      </c>
      <c r="C280" s="187"/>
      <c r="D280" s="187"/>
      <c r="E280" s="187"/>
      <c r="F280" s="188"/>
      <c r="G280" s="854"/>
      <c r="H280" s="189"/>
      <c r="I280" s="249"/>
      <c r="J280" s="249"/>
      <c r="K280" s="589"/>
      <c r="L280" s="590"/>
      <c r="M280" s="590"/>
      <c r="N280" s="50" t="str">
        <f>IF(AND('331-CT'!$E$7=TH!H280,OR(L280="331",M280="331")),"331",IF(AND(OR(L280="131",M280="131"),H280='131-CT'!$E$7),"131",""))</f>
        <v/>
      </c>
      <c r="O280" s="50" t="str">
        <f>IF(AND($B280&gt;='111'!$N$11,$B280&lt;='111'!$O$11,OR($L280=$O$7,$M280=$O$7)),"x","")</f>
        <v/>
      </c>
      <c r="P280" s="50" t="str">
        <f>IF(AND($L280=$O$7,$B280&lt;'111'!$N$11),"x","")</f>
        <v/>
      </c>
      <c r="Q280" s="50" t="str">
        <f>IF(AND($M280=$O$7,$B280&lt;'111'!$N$11),"x","")</f>
        <v/>
      </c>
      <c r="R280" s="50" t="str">
        <f>IF(ISERROR(FIND('112'!$M$9,G280,1)),"",IF((AND(FIND('112'!$M$9,G280,1)&gt;=1,$B280&gt;='112'!$N$8,$B280&lt;='112'!$O$8,OR($L280='112'!$I$6,$M280='112'!$I$6))),"x",""))</f>
        <v/>
      </c>
      <c r="S280" s="50" t="str">
        <f>IF(ISERROR(FIND('112'!$M$9,G280,1)),"",IF((AND(LEFT(G280,2)=LEFT('112'!$M$9,2),B280&lt;'112'!$N$8,$L280='112'!$I$6)),"x",""))</f>
        <v/>
      </c>
      <c r="T280" s="50" t="str">
        <f>IF(ISERROR(FIND('112'!$M$9,G280,1)),"",IF((AND(RIGHT(G280,2)=RIGHT('112'!$M$9,2),B280&lt;'112'!$N$8,$M280='112'!$I$6)),"x",""))</f>
        <v/>
      </c>
      <c r="U280" s="50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0" t="str">
        <f>IF(OR(TH!L280=TH!$V$7,M280=TH!$V$7),"x","")</f>
        <v/>
      </c>
      <c r="W280" s="50" t="str">
        <f>IF(AND(B280&gt;='IN-NX'!$P$3,B280&lt;='IN-NX'!$Q$3,'IN-NX'!$D$7=D280,OR(LEFT(L280,2)="15",AND(LEFT(M280,2)&lt;&gt;"15",LEFT(M280,2)&lt;&gt;"33"))),"x","")</f>
        <v/>
      </c>
      <c r="X280" s="50" t="str">
        <f>IF(AND(OR(LEFT(TH!L280,2)="15",LEFT(TH!M280,2)="15"),'152-CT'!$J$8=TH!F280),"x","")</f>
        <v/>
      </c>
      <c r="Y280" s="50" t="str">
        <f>IF(AND(OR(LEFT(TH!L280,2)="15",LEFT(TH!M280,2)="15"),TK!$E$7=TH!F280),"x","")</f>
        <v/>
      </c>
      <c r="Z280" s="50" t="str">
        <f>IF(AND(B280&lt;=NKC!$N$8,B280&gt;=NKC!$M$8),"x","")</f>
        <v/>
      </c>
      <c r="AA280" s="845"/>
      <c r="AB280" s="581"/>
    </row>
    <row r="281" spans="1:28" s="201" customFormat="1" ht="15.75" customHeight="1">
      <c r="A281" s="846" t="str">
        <f>IF(B281&lt;&gt;"",IF(AND(B281&gt;=_TM1,B281&lt;=_TM2,OR(TH!L281="1111",TH!M281="1111")),TH!D281,""),"")</f>
        <v/>
      </c>
      <c r="B281" s="36" t="str">
        <f t="shared" si="7"/>
        <v/>
      </c>
      <c r="C281" s="187"/>
      <c r="D281" s="187"/>
      <c r="E281" s="187"/>
      <c r="F281" s="188"/>
      <c r="G281" s="854"/>
      <c r="H281" s="189"/>
      <c r="I281" s="249"/>
      <c r="J281" s="249"/>
      <c r="K281" s="589"/>
      <c r="L281" s="590"/>
      <c r="M281" s="590"/>
      <c r="N281" s="50" t="str">
        <f>IF(AND('331-CT'!$E$7=TH!H281,OR(L281="331",M281="331")),"331",IF(AND(OR(L281="131",M281="131"),H281='131-CT'!$E$7),"131",""))</f>
        <v/>
      </c>
      <c r="O281" s="50" t="str">
        <f>IF(AND($B281&gt;='111'!$N$11,$B281&lt;='111'!$O$11,OR($L281=$O$7,$M281=$O$7)),"x","")</f>
        <v/>
      </c>
      <c r="P281" s="50" t="str">
        <f>IF(AND($L281=$O$7,$B281&lt;'111'!$N$11),"x","")</f>
        <v/>
      </c>
      <c r="Q281" s="50" t="str">
        <f>IF(AND($M281=$O$7,$B281&lt;'111'!$N$11),"x","")</f>
        <v/>
      </c>
      <c r="R281" s="50" t="str">
        <f>IF(ISERROR(FIND('112'!$M$9,G281,1)),"",IF((AND(FIND('112'!$M$9,G281,1)&gt;=1,$B281&gt;='112'!$N$8,$B281&lt;='112'!$O$8,OR($L281='112'!$I$6,$M281='112'!$I$6))),"x",""))</f>
        <v/>
      </c>
      <c r="S281" s="50" t="str">
        <f>IF(ISERROR(FIND('112'!$M$9,G281,1)),"",IF((AND(LEFT(G281,2)=LEFT('112'!$M$9,2),B281&lt;'112'!$N$8,$L281='112'!$I$6)),"x",""))</f>
        <v/>
      </c>
      <c r="T281" s="50" t="str">
        <f>IF(ISERROR(FIND('112'!$M$9,G281,1)),"",IF((AND(RIGHT(G281,2)=RIGHT('112'!$M$9,2),B281&lt;'112'!$N$8,$M281='112'!$I$6)),"x",""))</f>
        <v/>
      </c>
      <c r="U281" s="50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0" t="str">
        <f>IF(OR(TH!L281=TH!$V$7,M281=TH!$V$7),"x","")</f>
        <v/>
      </c>
      <c r="W281" s="50" t="str">
        <f>IF(AND(B281&gt;='IN-NX'!$P$3,B281&lt;='IN-NX'!$Q$3,'IN-NX'!$D$7=D281,OR(LEFT(L281,2)="15",AND(LEFT(M281,2)&lt;&gt;"15",LEFT(M281,2)&lt;&gt;"33"))),"x","")</f>
        <v/>
      </c>
      <c r="X281" s="50" t="str">
        <f>IF(AND(OR(LEFT(TH!L281,2)="15",LEFT(TH!M281,2)="15"),'152-CT'!$J$8=TH!F281),"x","")</f>
        <v/>
      </c>
      <c r="Y281" s="50" t="str">
        <f>IF(AND(OR(LEFT(TH!L281,2)="15",LEFT(TH!M281,2)="15"),TK!$E$7=TH!F281),"x","")</f>
        <v/>
      </c>
      <c r="Z281" s="50" t="str">
        <f>IF(AND(B281&lt;=NKC!$N$8,B281&gt;=NKC!$M$8),"x","")</f>
        <v/>
      </c>
      <c r="AA281" s="845"/>
      <c r="AB281" s="581"/>
    </row>
    <row r="282" spans="1:28" s="201" customFormat="1" ht="15.75" customHeight="1">
      <c r="A282" s="846" t="str">
        <f>IF(B282&lt;&gt;"",IF(AND(B282&gt;=_TM1,B282&lt;=_TM2,OR(TH!L282="1111",TH!M282="1111")),TH!D282,""),"")</f>
        <v/>
      </c>
      <c r="B282" s="36" t="str">
        <f t="shared" si="7"/>
        <v/>
      </c>
      <c r="C282" s="187"/>
      <c r="D282" s="187"/>
      <c r="E282" s="187"/>
      <c r="F282" s="188"/>
      <c r="G282" s="854"/>
      <c r="H282" s="189"/>
      <c r="I282" s="249"/>
      <c r="J282" s="249"/>
      <c r="K282" s="589"/>
      <c r="L282" s="590"/>
      <c r="M282" s="590"/>
      <c r="N282" s="50" t="str">
        <f>IF(AND('331-CT'!$E$7=TH!H282,OR(L282="331",M282="331")),"331",IF(AND(OR(L282="131",M282="131"),H282='131-CT'!$E$7),"131",""))</f>
        <v/>
      </c>
      <c r="O282" s="50" t="str">
        <f>IF(AND($B282&gt;='111'!$N$11,$B282&lt;='111'!$O$11,OR($L282=$O$7,$M282=$O$7)),"x","")</f>
        <v/>
      </c>
      <c r="P282" s="50" t="str">
        <f>IF(AND($L282=$O$7,$B282&lt;'111'!$N$11),"x","")</f>
        <v/>
      </c>
      <c r="Q282" s="50" t="str">
        <f>IF(AND($M282=$O$7,$B282&lt;'111'!$N$11),"x","")</f>
        <v/>
      </c>
      <c r="R282" s="50" t="str">
        <f>IF(ISERROR(FIND('112'!$M$9,G282,1)),"",IF((AND(FIND('112'!$M$9,G282,1)&gt;=1,$B282&gt;='112'!$N$8,$B282&lt;='112'!$O$8,OR($L282='112'!$I$6,$M282='112'!$I$6))),"x",""))</f>
        <v/>
      </c>
      <c r="S282" s="50" t="str">
        <f>IF(ISERROR(FIND('112'!$M$9,G282,1)),"",IF((AND(LEFT(G282,2)=LEFT('112'!$M$9,2),B282&lt;'112'!$N$8,$L282='112'!$I$6)),"x",""))</f>
        <v/>
      </c>
      <c r="T282" s="50" t="str">
        <f>IF(ISERROR(FIND('112'!$M$9,G282,1)),"",IF((AND(RIGHT(G282,2)=RIGHT('112'!$M$9,2),B282&lt;'112'!$N$8,$M282='112'!$I$6)),"x",""))</f>
        <v/>
      </c>
      <c r="U282" s="50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0" t="str">
        <f>IF(OR(TH!L282=TH!$V$7,M282=TH!$V$7),"x","")</f>
        <v/>
      </c>
      <c r="W282" s="50" t="str">
        <f>IF(AND(B282&gt;='IN-NX'!$P$3,B282&lt;='IN-NX'!$Q$3,'IN-NX'!$D$7=D282,OR(LEFT(L282,2)="15",AND(LEFT(M282,2)&lt;&gt;"15",LEFT(M282,2)&lt;&gt;"33"))),"x","")</f>
        <v/>
      </c>
      <c r="X282" s="50" t="str">
        <f>IF(AND(OR(LEFT(TH!L282,2)="15",LEFT(TH!M282,2)="15"),'152-CT'!$J$8=TH!F282),"x","")</f>
        <v/>
      </c>
      <c r="Y282" s="50" t="str">
        <f>IF(AND(OR(LEFT(TH!L282,2)="15",LEFT(TH!M282,2)="15"),TK!$E$7=TH!F282),"x","")</f>
        <v/>
      </c>
      <c r="Z282" s="50" t="str">
        <f>IF(AND(B282&lt;=NKC!$N$8,B282&gt;=NKC!$M$8),"x","")</f>
        <v/>
      </c>
      <c r="AA282" s="845"/>
      <c r="AB282" s="581"/>
    </row>
    <row r="283" spans="1:28" s="201" customFormat="1" ht="15.75" customHeight="1">
      <c r="A283" s="846" t="str">
        <f>IF(B283&lt;&gt;"",IF(AND(B283&gt;=_TM1,B283&lt;=_TM2,OR(TH!L283="1111",TH!M283="1111")),TH!D283,""),"")</f>
        <v/>
      </c>
      <c r="B283" s="36" t="str">
        <f t="shared" si="7"/>
        <v/>
      </c>
      <c r="C283" s="187"/>
      <c r="D283" s="187"/>
      <c r="E283" s="187"/>
      <c r="F283" s="188"/>
      <c r="G283" s="854"/>
      <c r="H283" s="189"/>
      <c r="I283" s="249"/>
      <c r="J283" s="249"/>
      <c r="K283" s="589"/>
      <c r="L283" s="590"/>
      <c r="M283" s="590"/>
      <c r="N283" s="50" t="str">
        <f>IF(AND('331-CT'!$E$7=TH!H283,OR(L283="331",M283="331")),"331",IF(AND(OR(L283="131",M283="131"),H283='131-CT'!$E$7),"131",""))</f>
        <v/>
      </c>
      <c r="O283" s="50" t="str">
        <f>IF(AND($B283&gt;='111'!$N$11,$B283&lt;='111'!$O$11,OR($L283=$O$7,$M283=$O$7)),"x","")</f>
        <v/>
      </c>
      <c r="P283" s="50" t="str">
        <f>IF(AND($L283=$O$7,$B283&lt;'111'!$N$11),"x","")</f>
        <v/>
      </c>
      <c r="Q283" s="50" t="str">
        <f>IF(AND($M283=$O$7,$B283&lt;'111'!$N$11),"x","")</f>
        <v/>
      </c>
      <c r="R283" s="50" t="str">
        <f>IF(ISERROR(FIND('112'!$M$9,G283,1)),"",IF((AND(FIND('112'!$M$9,G283,1)&gt;=1,$B283&gt;='112'!$N$8,$B283&lt;='112'!$O$8,OR($L283='112'!$I$6,$M283='112'!$I$6))),"x",""))</f>
        <v/>
      </c>
      <c r="S283" s="50" t="str">
        <f>IF(ISERROR(FIND('112'!$M$9,G283,1)),"",IF((AND(LEFT(G283,2)=LEFT('112'!$M$9,2),B283&lt;'112'!$N$8,$L283='112'!$I$6)),"x",""))</f>
        <v/>
      </c>
      <c r="T283" s="50" t="str">
        <f>IF(ISERROR(FIND('112'!$M$9,G283,1)),"",IF((AND(RIGHT(G283,2)=RIGHT('112'!$M$9,2),B283&lt;'112'!$N$8,$M283='112'!$I$6)),"x",""))</f>
        <v/>
      </c>
      <c r="U283" s="50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0" t="str">
        <f>IF(OR(TH!L283=TH!$V$7,M283=TH!$V$7),"x","")</f>
        <v/>
      </c>
      <c r="W283" s="50" t="str">
        <f>IF(AND(B283&gt;='IN-NX'!$P$3,B283&lt;='IN-NX'!$Q$3,'IN-NX'!$D$7=D283,OR(LEFT(L283,2)="15",AND(LEFT(M283,2)&lt;&gt;"15",LEFT(M283,2)&lt;&gt;"33"))),"x","")</f>
        <v/>
      </c>
      <c r="X283" s="50" t="str">
        <f>IF(AND(OR(LEFT(TH!L283,2)="15",LEFT(TH!M283,2)="15"),'152-CT'!$J$8=TH!F283),"x","")</f>
        <v/>
      </c>
      <c r="Y283" s="50" t="str">
        <f>IF(AND(OR(LEFT(TH!L283,2)="15",LEFT(TH!M283,2)="15"),TK!$E$7=TH!F283),"x","")</f>
        <v/>
      </c>
      <c r="Z283" s="50" t="str">
        <f>IF(AND(B283&lt;=NKC!$N$8,B283&gt;=NKC!$M$8),"x","")</f>
        <v/>
      </c>
      <c r="AA283" s="845"/>
      <c r="AB283" s="581"/>
    </row>
    <row r="284" spans="1:28" s="201" customFormat="1" ht="15.75" customHeight="1">
      <c r="A284" s="846" t="str">
        <f>IF(B284&lt;&gt;"",IF(AND(B284&gt;=_TM1,B284&lt;=_TM2,OR(TH!L284="1111",TH!M284="1111")),TH!D284,""),"")</f>
        <v/>
      </c>
      <c r="B284" s="36" t="str">
        <f t="shared" si="7"/>
        <v/>
      </c>
      <c r="C284" s="187"/>
      <c r="D284" s="187"/>
      <c r="E284" s="187"/>
      <c r="F284" s="188"/>
      <c r="G284" s="854"/>
      <c r="H284" s="189"/>
      <c r="I284" s="249"/>
      <c r="J284" s="249"/>
      <c r="K284" s="589"/>
      <c r="L284" s="590"/>
      <c r="M284" s="590"/>
      <c r="N284" s="50" t="str">
        <f>IF(AND('331-CT'!$E$7=TH!H284,OR(L284="331",M284="331")),"331",IF(AND(OR(L284="131",M284="131"),H284='131-CT'!$E$7),"131",""))</f>
        <v/>
      </c>
      <c r="O284" s="50" t="str">
        <f>IF(AND($B284&gt;='111'!$N$11,$B284&lt;='111'!$O$11,OR($L284=$O$7,$M284=$O$7)),"x","")</f>
        <v/>
      </c>
      <c r="P284" s="50" t="str">
        <f>IF(AND($L284=$O$7,$B284&lt;'111'!$N$11),"x","")</f>
        <v/>
      </c>
      <c r="Q284" s="50" t="str">
        <f>IF(AND($M284=$O$7,$B284&lt;'111'!$N$11),"x","")</f>
        <v/>
      </c>
      <c r="R284" s="50" t="str">
        <f>IF(ISERROR(FIND('112'!$M$9,G284,1)),"",IF((AND(FIND('112'!$M$9,G284,1)&gt;=1,$B284&gt;='112'!$N$8,$B284&lt;='112'!$O$8,OR($L284='112'!$I$6,$M284='112'!$I$6))),"x",""))</f>
        <v/>
      </c>
      <c r="S284" s="50" t="str">
        <f>IF(ISERROR(FIND('112'!$M$9,G284,1)),"",IF((AND(LEFT(G284,2)=LEFT('112'!$M$9,2),B284&lt;'112'!$N$8,$L284='112'!$I$6)),"x",""))</f>
        <v/>
      </c>
      <c r="T284" s="50" t="str">
        <f>IF(ISERROR(FIND('112'!$M$9,G284,1)),"",IF((AND(RIGHT(G284,2)=RIGHT('112'!$M$9,2),B284&lt;'112'!$N$8,$M284='112'!$I$6)),"x",""))</f>
        <v/>
      </c>
      <c r="U284" s="50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0" t="str">
        <f>IF(OR(TH!L284=TH!$V$7,M284=TH!$V$7),"x","")</f>
        <v/>
      </c>
      <c r="W284" s="50" t="str">
        <f>IF(AND(B284&gt;='IN-NX'!$P$3,B284&lt;='IN-NX'!$Q$3,'IN-NX'!$D$7=D284,OR(LEFT(L284,2)="15",AND(LEFT(M284,2)&lt;&gt;"15",LEFT(M284,2)&lt;&gt;"33"))),"x","")</f>
        <v/>
      </c>
      <c r="X284" s="50" t="str">
        <f>IF(AND(OR(LEFT(TH!L284,2)="15",LEFT(TH!M284,2)="15"),'152-CT'!$J$8=TH!F284),"x","")</f>
        <v/>
      </c>
      <c r="Y284" s="50" t="str">
        <f>IF(AND(OR(LEFT(TH!L284,2)="15",LEFT(TH!M284,2)="15"),TK!$E$7=TH!F284),"x","")</f>
        <v/>
      </c>
      <c r="Z284" s="50" t="str">
        <f>IF(AND(B284&lt;=NKC!$N$8,B284&gt;=NKC!$M$8),"x","")</f>
        <v/>
      </c>
      <c r="AA284" s="845"/>
      <c r="AB284" s="581"/>
    </row>
    <row r="285" spans="1:28" s="201" customFormat="1" ht="15.75" customHeight="1">
      <c r="A285" s="846" t="str">
        <f>IF(B285&lt;&gt;"",IF(AND(B285&gt;=_TM1,B285&lt;=_TM2,OR(TH!L285="1111",TH!M285="1111")),TH!D285,""),"")</f>
        <v/>
      </c>
      <c r="B285" s="36" t="str">
        <f t="shared" si="7"/>
        <v/>
      </c>
      <c r="C285" s="187"/>
      <c r="D285" s="187"/>
      <c r="E285" s="187"/>
      <c r="F285" s="188"/>
      <c r="G285" s="854"/>
      <c r="H285" s="189"/>
      <c r="I285" s="249"/>
      <c r="J285" s="249"/>
      <c r="K285" s="589"/>
      <c r="L285" s="590"/>
      <c r="M285" s="590"/>
      <c r="N285" s="50" t="str">
        <f>IF(AND('331-CT'!$E$7=TH!H285,OR(L285="331",M285="331")),"331",IF(AND(OR(L285="131",M285="131"),H285='131-CT'!$E$7),"131",""))</f>
        <v/>
      </c>
      <c r="O285" s="50" t="str">
        <f>IF(AND($B285&gt;='111'!$N$11,$B285&lt;='111'!$O$11,OR($L285=$O$7,$M285=$O$7)),"x","")</f>
        <v/>
      </c>
      <c r="P285" s="50" t="str">
        <f>IF(AND($L285=$O$7,$B285&lt;'111'!$N$11),"x","")</f>
        <v/>
      </c>
      <c r="Q285" s="50" t="str">
        <f>IF(AND($M285=$O$7,$B285&lt;'111'!$N$11),"x","")</f>
        <v/>
      </c>
      <c r="R285" s="50" t="str">
        <f>IF(ISERROR(FIND('112'!$M$9,G285,1)),"",IF((AND(FIND('112'!$M$9,G285,1)&gt;=1,$B285&gt;='112'!$N$8,$B285&lt;='112'!$O$8,OR($L285='112'!$I$6,$M285='112'!$I$6))),"x",""))</f>
        <v/>
      </c>
      <c r="S285" s="50" t="str">
        <f>IF(ISERROR(FIND('112'!$M$9,G285,1)),"",IF((AND(LEFT(G285,2)=LEFT('112'!$M$9,2),B285&lt;'112'!$N$8,$L285='112'!$I$6)),"x",""))</f>
        <v/>
      </c>
      <c r="T285" s="50" t="str">
        <f>IF(ISERROR(FIND('112'!$M$9,G285,1)),"",IF((AND(RIGHT(G285,2)=RIGHT('112'!$M$9,2),B285&lt;'112'!$N$8,$M285='112'!$I$6)),"x",""))</f>
        <v/>
      </c>
      <c r="U285" s="50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0" t="str">
        <f>IF(OR(TH!L285=TH!$V$7,M285=TH!$V$7),"x","")</f>
        <v/>
      </c>
      <c r="W285" s="50" t="str">
        <f>IF(AND(B285&gt;='IN-NX'!$P$3,B285&lt;='IN-NX'!$Q$3,'IN-NX'!$D$7=D285,OR(LEFT(L285,2)="15",AND(LEFT(M285,2)&lt;&gt;"15",LEFT(M285,2)&lt;&gt;"33"))),"x","")</f>
        <v/>
      </c>
      <c r="X285" s="50" t="str">
        <f>IF(AND(OR(LEFT(TH!L285,2)="15",LEFT(TH!M285,2)="15"),'152-CT'!$J$8=TH!F285),"x","")</f>
        <v/>
      </c>
      <c r="Y285" s="50" t="str">
        <f>IF(AND(OR(LEFT(TH!L285,2)="15",LEFT(TH!M285,2)="15"),TK!$E$7=TH!F285),"x","")</f>
        <v/>
      </c>
      <c r="Z285" s="50" t="str">
        <f>IF(AND(B285&lt;=NKC!$N$8,B285&gt;=NKC!$M$8),"x","")</f>
        <v/>
      </c>
      <c r="AA285" s="845"/>
      <c r="AB285" s="581"/>
    </row>
    <row r="286" spans="1:28" s="201" customFormat="1" ht="15.75" customHeight="1">
      <c r="A286" s="846" t="str">
        <f>IF(B286&lt;&gt;"",IF(AND(B286&gt;=_TM1,B286&lt;=_TM2,OR(TH!L286="1111",TH!M286="1111")),TH!D286,""),"")</f>
        <v/>
      </c>
      <c r="B286" s="36" t="str">
        <f t="shared" si="7"/>
        <v/>
      </c>
      <c r="C286" s="187"/>
      <c r="D286" s="187"/>
      <c r="E286" s="187"/>
      <c r="F286" s="188"/>
      <c r="G286" s="854"/>
      <c r="H286" s="189"/>
      <c r="I286" s="249"/>
      <c r="J286" s="249"/>
      <c r="K286" s="589"/>
      <c r="L286" s="590"/>
      <c r="M286" s="590"/>
      <c r="N286" s="50" t="str">
        <f>IF(AND('331-CT'!$E$7=TH!H286,OR(L286="331",M286="331")),"331",IF(AND(OR(L286="131",M286="131"),H286='131-CT'!$E$7),"131",""))</f>
        <v/>
      </c>
      <c r="O286" s="50" t="str">
        <f>IF(AND($B286&gt;='111'!$N$11,$B286&lt;='111'!$O$11,OR($L286=$O$7,$M286=$O$7)),"x","")</f>
        <v/>
      </c>
      <c r="P286" s="50" t="str">
        <f>IF(AND($L286=$O$7,$B286&lt;'111'!$N$11),"x","")</f>
        <v/>
      </c>
      <c r="Q286" s="50" t="str">
        <f>IF(AND($M286=$O$7,$B286&lt;'111'!$N$11),"x","")</f>
        <v/>
      </c>
      <c r="R286" s="50" t="str">
        <f>IF(ISERROR(FIND('112'!$M$9,G286,1)),"",IF((AND(FIND('112'!$M$9,G286,1)&gt;=1,$B286&gt;='112'!$N$8,$B286&lt;='112'!$O$8,OR($L286='112'!$I$6,$M286='112'!$I$6))),"x",""))</f>
        <v/>
      </c>
      <c r="S286" s="50" t="str">
        <f>IF(ISERROR(FIND('112'!$M$9,G286,1)),"",IF((AND(LEFT(G286,2)=LEFT('112'!$M$9,2),B286&lt;'112'!$N$8,$L286='112'!$I$6)),"x",""))</f>
        <v/>
      </c>
      <c r="T286" s="50" t="str">
        <f>IF(ISERROR(FIND('112'!$M$9,G286,1)),"",IF((AND(RIGHT(G286,2)=RIGHT('112'!$M$9,2),B286&lt;'112'!$N$8,$M286='112'!$I$6)),"x",""))</f>
        <v/>
      </c>
      <c r="U286" s="50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0" t="str">
        <f>IF(OR(TH!L286=TH!$V$7,M286=TH!$V$7),"x","")</f>
        <v/>
      </c>
      <c r="W286" s="50" t="str">
        <f>IF(AND(B286&gt;='IN-NX'!$P$3,B286&lt;='IN-NX'!$Q$3,'IN-NX'!$D$7=D286,OR(LEFT(L286,2)="15",AND(LEFT(M286,2)&lt;&gt;"15",LEFT(M286,2)&lt;&gt;"33"))),"x","")</f>
        <v/>
      </c>
      <c r="X286" s="50" t="str">
        <f>IF(AND(OR(LEFT(TH!L286,2)="15",LEFT(TH!M286,2)="15"),'152-CT'!$J$8=TH!F286),"x","")</f>
        <v/>
      </c>
      <c r="Y286" s="50" t="str">
        <f>IF(AND(OR(LEFT(TH!L286,2)="15",LEFT(TH!M286,2)="15"),TK!$E$7=TH!F286),"x","")</f>
        <v/>
      </c>
      <c r="Z286" s="50" t="str">
        <f>IF(AND(B286&lt;=NKC!$N$8,B286&gt;=NKC!$M$8),"x","")</f>
        <v/>
      </c>
      <c r="AA286" s="845"/>
      <c r="AB286" s="581"/>
    </row>
    <row r="287" spans="1:28" s="201" customFormat="1" ht="15.75" customHeight="1">
      <c r="A287" s="846" t="str">
        <f>IF(B287&lt;&gt;"",IF(AND(B287&gt;=_TM1,B287&lt;=_TM2,OR(TH!L287="1111",TH!M287="1111")),TH!D287,""),"")</f>
        <v/>
      </c>
      <c r="B287" s="36" t="str">
        <f t="shared" si="7"/>
        <v/>
      </c>
      <c r="C287" s="187"/>
      <c r="D287" s="187"/>
      <c r="E287" s="187"/>
      <c r="F287" s="188"/>
      <c r="G287" s="854"/>
      <c r="H287" s="189"/>
      <c r="I287" s="249"/>
      <c r="J287" s="249"/>
      <c r="K287" s="589"/>
      <c r="L287" s="590"/>
      <c r="M287" s="590"/>
      <c r="N287" s="50" t="str">
        <f>IF(AND('331-CT'!$E$7=TH!H287,OR(L287="331",M287="331")),"331",IF(AND(OR(L287="131",M287="131"),H287='131-CT'!$E$7),"131",""))</f>
        <v/>
      </c>
      <c r="O287" s="50" t="str">
        <f>IF(AND($B287&gt;='111'!$N$11,$B287&lt;='111'!$O$11,OR($L287=$O$7,$M287=$O$7)),"x","")</f>
        <v/>
      </c>
      <c r="P287" s="50" t="str">
        <f>IF(AND($L287=$O$7,$B287&lt;'111'!$N$11),"x","")</f>
        <v/>
      </c>
      <c r="Q287" s="50" t="str">
        <f>IF(AND($M287=$O$7,$B287&lt;'111'!$N$11),"x","")</f>
        <v/>
      </c>
      <c r="R287" s="50" t="str">
        <f>IF(ISERROR(FIND('112'!$M$9,G287,1)),"",IF((AND(FIND('112'!$M$9,G287,1)&gt;=1,$B287&gt;='112'!$N$8,$B287&lt;='112'!$O$8,OR($L287='112'!$I$6,$M287='112'!$I$6))),"x",""))</f>
        <v/>
      </c>
      <c r="S287" s="50" t="str">
        <f>IF(ISERROR(FIND('112'!$M$9,G287,1)),"",IF((AND(LEFT(G287,2)=LEFT('112'!$M$9,2),B287&lt;'112'!$N$8,$L287='112'!$I$6)),"x",""))</f>
        <v/>
      </c>
      <c r="T287" s="50" t="str">
        <f>IF(ISERROR(FIND('112'!$M$9,G287,1)),"",IF((AND(RIGHT(G287,2)=RIGHT('112'!$M$9,2),B287&lt;'112'!$N$8,$M287='112'!$I$6)),"x",""))</f>
        <v/>
      </c>
      <c r="U287" s="50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0" t="str">
        <f>IF(OR(TH!L287=TH!$V$7,M287=TH!$V$7),"x","")</f>
        <v/>
      </c>
      <c r="W287" s="50" t="str">
        <f>IF(AND(B287&gt;='IN-NX'!$P$3,B287&lt;='IN-NX'!$Q$3,'IN-NX'!$D$7=D287,OR(LEFT(L287,2)="15",AND(LEFT(M287,2)&lt;&gt;"15",LEFT(M287,2)&lt;&gt;"33"))),"x","")</f>
        <v/>
      </c>
      <c r="X287" s="50" t="str">
        <f>IF(AND(OR(LEFT(TH!L287,2)="15",LEFT(TH!M287,2)="15"),'152-CT'!$J$8=TH!F287),"x","")</f>
        <v/>
      </c>
      <c r="Y287" s="50" t="str">
        <f>IF(AND(OR(LEFT(TH!L287,2)="15",LEFT(TH!M287,2)="15"),TK!$E$7=TH!F287),"x","")</f>
        <v/>
      </c>
      <c r="Z287" s="50" t="str">
        <f>IF(AND(B287&lt;=NKC!$N$8,B287&gt;=NKC!$M$8),"x","")</f>
        <v/>
      </c>
      <c r="AA287" s="845"/>
      <c r="AB287" s="581"/>
    </row>
    <row r="288" spans="1:28" s="201" customFormat="1" ht="15.75" customHeight="1">
      <c r="A288" s="846" t="str">
        <f>IF(B288&lt;&gt;"",IF(AND(B288&gt;=_TM1,B288&lt;=_TM2,OR(TH!L288="1111",TH!M288="1111")),TH!D288,""),"")</f>
        <v/>
      </c>
      <c r="B288" s="36" t="str">
        <f t="shared" si="7"/>
        <v/>
      </c>
      <c r="C288" s="187"/>
      <c r="D288" s="187"/>
      <c r="E288" s="187"/>
      <c r="F288" s="188"/>
      <c r="G288" s="854"/>
      <c r="H288" s="189"/>
      <c r="I288" s="249"/>
      <c r="J288" s="249"/>
      <c r="K288" s="589"/>
      <c r="L288" s="590"/>
      <c r="M288" s="590"/>
      <c r="N288" s="50" t="str">
        <f>IF(AND('331-CT'!$E$7=TH!H288,OR(L288="331",M288="331")),"331",IF(AND(OR(L288="131",M288="131"),H288='131-CT'!$E$7),"131",""))</f>
        <v/>
      </c>
      <c r="O288" s="50" t="str">
        <f>IF(AND($B288&gt;='111'!$N$11,$B288&lt;='111'!$O$11,OR($L288=$O$7,$M288=$O$7)),"x","")</f>
        <v/>
      </c>
      <c r="P288" s="50" t="str">
        <f>IF(AND($L288=$O$7,$B288&lt;'111'!$N$11),"x","")</f>
        <v/>
      </c>
      <c r="Q288" s="50" t="str">
        <f>IF(AND($M288=$O$7,$B288&lt;'111'!$N$11),"x","")</f>
        <v/>
      </c>
      <c r="R288" s="50" t="str">
        <f>IF(ISERROR(FIND('112'!$M$9,G288,1)),"",IF((AND(FIND('112'!$M$9,G288,1)&gt;=1,$B288&gt;='112'!$N$8,$B288&lt;='112'!$O$8,OR($L288='112'!$I$6,$M288='112'!$I$6))),"x",""))</f>
        <v/>
      </c>
      <c r="S288" s="50" t="str">
        <f>IF(ISERROR(FIND('112'!$M$9,G288,1)),"",IF((AND(LEFT(G288,2)=LEFT('112'!$M$9,2),B288&lt;'112'!$N$8,$L288='112'!$I$6)),"x",""))</f>
        <v/>
      </c>
      <c r="T288" s="50" t="str">
        <f>IF(ISERROR(FIND('112'!$M$9,G288,1)),"",IF((AND(RIGHT(G288,2)=RIGHT('112'!$M$9,2),B288&lt;'112'!$N$8,$M288='112'!$I$6)),"x",""))</f>
        <v/>
      </c>
      <c r="U288" s="50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0" t="str">
        <f>IF(OR(TH!L288=TH!$V$7,M288=TH!$V$7),"x","")</f>
        <v/>
      </c>
      <c r="W288" s="50" t="str">
        <f>IF(AND(B288&gt;='IN-NX'!$P$3,B288&lt;='IN-NX'!$Q$3,'IN-NX'!$D$7=D288,OR(LEFT(L288,2)="15",AND(LEFT(M288,2)&lt;&gt;"15",LEFT(M288,2)&lt;&gt;"33"))),"x","")</f>
        <v/>
      </c>
      <c r="X288" s="50" t="str">
        <f>IF(AND(OR(LEFT(TH!L288,2)="15",LEFT(TH!M288,2)="15"),'152-CT'!$J$8=TH!F288),"x","")</f>
        <v/>
      </c>
      <c r="Y288" s="50" t="str">
        <f>IF(AND(OR(LEFT(TH!L288,2)="15",LEFT(TH!M288,2)="15"),TK!$E$7=TH!F288),"x","")</f>
        <v/>
      </c>
      <c r="Z288" s="50" t="str">
        <f>IF(AND(B288&lt;=NKC!$N$8,B288&gt;=NKC!$M$8),"x","")</f>
        <v/>
      </c>
      <c r="AA288" s="845"/>
      <c r="AB288" s="581"/>
    </row>
    <row r="289" spans="1:30" s="201" customFormat="1" ht="15.75" customHeight="1">
      <c r="A289" s="846" t="str">
        <f>IF(B289&lt;&gt;"",IF(AND(B289&gt;=_TM1,B289&lt;=_TM2,OR(TH!L289="1111",TH!M289="1111")),TH!D289,""),"")</f>
        <v/>
      </c>
      <c r="B289" s="36" t="str">
        <f t="shared" si="7"/>
        <v/>
      </c>
      <c r="C289" s="187"/>
      <c r="D289" s="187"/>
      <c r="E289" s="187"/>
      <c r="F289" s="188"/>
      <c r="G289" s="854"/>
      <c r="H289" s="189"/>
      <c r="I289" s="249"/>
      <c r="J289" s="249"/>
      <c r="K289" s="589"/>
      <c r="L289" s="590"/>
      <c r="M289" s="590"/>
      <c r="N289" s="50" t="str">
        <f>IF(AND('331-CT'!$E$7=TH!H289,OR(L289="331",M289="331")),"331",IF(AND(OR(L289="131",M289="131"),H289='131-CT'!$E$7),"131",""))</f>
        <v/>
      </c>
      <c r="O289" s="50" t="str">
        <f>IF(AND($B289&gt;='111'!$N$11,$B289&lt;='111'!$O$11,OR($L289=$O$7,$M289=$O$7)),"x","")</f>
        <v/>
      </c>
      <c r="P289" s="50" t="str">
        <f>IF(AND($L289=$O$7,$B289&lt;'111'!$N$11),"x","")</f>
        <v/>
      </c>
      <c r="Q289" s="50" t="str">
        <f>IF(AND($M289=$O$7,$B289&lt;'111'!$N$11),"x","")</f>
        <v/>
      </c>
      <c r="R289" s="50" t="str">
        <f>IF(ISERROR(FIND('112'!$M$9,G289,1)),"",IF((AND(FIND('112'!$M$9,G289,1)&gt;=1,$B289&gt;='112'!$N$8,$B289&lt;='112'!$O$8,OR($L289='112'!$I$6,$M289='112'!$I$6))),"x",""))</f>
        <v/>
      </c>
      <c r="S289" s="50" t="str">
        <f>IF(ISERROR(FIND('112'!$M$9,G289,1)),"",IF((AND(LEFT(G289,2)=LEFT('112'!$M$9,2),B289&lt;'112'!$N$8,$L289='112'!$I$6)),"x",""))</f>
        <v/>
      </c>
      <c r="T289" s="50" t="str">
        <f>IF(ISERROR(FIND('112'!$M$9,G289,1)),"",IF((AND(RIGHT(G289,2)=RIGHT('112'!$M$9,2),B289&lt;'112'!$N$8,$M289='112'!$I$6)),"x",""))</f>
        <v/>
      </c>
      <c r="U289" s="50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0" t="str">
        <f>IF(OR(TH!L289=TH!$V$7,M289=TH!$V$7),"x","")</f>
        <v/>
      </c>
      <c r="W289" s="50" t="str">
        <f>IF(AND(B289&gt;='IN-NX'!$P$3,B289&lt;='IN-NX'!$Q$3,'IN-NX'!$D$7=D289,OR(LEFT(L289,2)="15",AND(LEFT(M289,2)&lt;&gt;"15",LEFT(M289,2)&lt;&gt;"33"))),"x","")</f>
        <v/>
      </c>
      <c r="X289" s="50" t="str">
        <f>IF(AND(OR(LEFT(TH!L289,2)="15",LEFT(TH!M289,2)="15"),'152-CT'!$J$8=TH!F289),"x","")</f>
        <v/>
      </c>
      <c r="Y289" s="50" t="str">
        <f>IF(AND(OR(LEFT(TH!L289,2)="15",LEFT(TH!M289,2)="15"),TK!$E$7=TH!F289),"x","")</f>
        <v/>
      </c>
      <c r="Z289" s="50" t="str">
        <f>IF(AND(B289&lt;=NKC!$N$8,B289&gt;=NKC!$M$8),"x","")</f>
        <v/>
      </c>
      <c r="AA289" s="845"/>
      <c r="AB289" s="581"/>
    </row>
    <row r="290" spans="1:30" s="201" customFormat="1" ht="15.75" customHeight="1">
      <c r="A290" s="846" t="str">
        <f>IF(B290&lt;&gt;"",IF(AND(B290&gt;=_TM1,B290&lt;=_TM2,OR(TH!L290="1111",TH!M290="1111")),TH!D290,""),"")</f>
        <v/>
      </c>
      <c r="B290" s="36" t="str">
        <f t="shared" si="7"/>
        <v/>
      </c>
      <c r="C290" s="187"/>
      <c r="D290" s="187"/>
      <c r="E290" s="187"/>
      <c r="F290" s="188"/>
      <c r="G290" s="854"/>
      <c r="H290" s="189"/>
      <c r="I290" s="249"/>
      <c r="J290" s="249"/>
      <c r="K290" s="589"/>
      <c r="L290" s="590"/>
      <c r="M290" s="590"/>
      <c r="N290" s="50" t="str">
        <f>IF(AND('331-CT'!$E$7=TH!H290,OR(L290="331",M290="331")),"331",IF(AND(OR(L290="131",M290="131"),H290='131-CT'!$E$7),"131",""))</f>
        <v/>
      </c>
      <c r="O290" s="50" t="str">
        <f>IF(AND($B290&gt;='111'!$N$11,$B290&lt;='111'!$O$11,OR($L290=$O$7,$M290=$O$7)),"x","")</f>
        <v/>
      </c>
      <c r="P290" s="50" t="str">
        <f>IF(AND($L290=$O$7,$B290&lt;'111'!$N$11),"x","")</f>
        <v/>
      </c>
      <c r="Q290" s="50" t="str">
        <f>IF(AND($M290=$O$7,$B290&lt;'111'!$N$11),"x","")</f>
        <v/>
      </c>
      <c r="R290" s="50" t="str">
        <f>IF(ISERROR(FIND('112'!$M$9,G290,1)),"",IF((AND(FIND('112'!$M$9,G290,1)&gt;=1,$B290&gt;='112'!$N$8,$B290&lt;='112'!$O$8,OR($L290='112'!$I$6,$M290='112'!$I$6))),"x",""))</f>
        <v/>
      </c>
      <c r="S290" s="50" t="str">
        <f>IF(ISERROR(FIND('112'!$M$9,G290,1)),"",IF((AND(LEFT(G290,2)=LEFT('112'!$M$9,2),B290&lt;'112'!$N$8,$L290='112'!$I$6)),"x",""))</f>
        <v/>
      </c>
      <c r="T290" s="50" t="str">
        <f>IF(ISERROR(FIND('112'!$M$9,G290,1)),"",IF((AND(RIGHT(G290,2)=RIGHT('112'!$M$9,2),B290&lt;'112'!$N$8,$M290='112'!$I$6)),"x",""))</f>
        <v/>
      </c>
      <c r="U290" s="50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0" t="str">
        <f>IF(OR(TH!L290=TH!$V$7,M290=TH!$V$7),"x","")</f>
        <v/>
      </c>
      <c r="W290" s="50" t="str">
        <f>IF(AND(B290&gt;='IN-NX'!$P$3,B290&lt;='IN-NX'!$Q$3,'IN-NX'!$D$7=D290,OR(LEFT(L290,2)="15",AND(LEFT(M290,2)&lt;&gt;"15",LEFT(M290,2)&lt;&gt;"33"))),"x","")</f>
        <v/>
      </c>
      <c r="X290" s="50" t="str">
        <f>IF(AND(OR(LEFT(TH!L290,2)="15",LEFT(TH!M290,2)="15"),'152-CT'!$J$8=TH!F290),"x","")</f>
        <v/>
      </c>
      <c r="Y290" s="50" t="str">
        <f>IF(AND(OR(LEFT(TH!L290,2)="15",LEFT(TH!M290,2)="15"),TK!$E$7=TH!F290),"x","")</f>
        <v/>
      </c>
      <c r="Z290" s="50" t="str">
        <f>IF(AND(B290&lt;=NKC!$N$8,B290&gt;=NKC!$M$8),"x","")</f>
        <v/>
      </c>
      <c r="AA290" s="845"/>
      <c r="AB290" s="581"/>
    </row>
    <row r="291" spans="1:30" s="201" customFormat="1" ht="15.75" customHeight="1">
      <c r="A291" s="846" t="str">
        <f>IF(B291&lt;&gt;"",IF(AND(B291&gt;=_TM1,B291&lt;=_TM2,OR(TH!L291="1111",TH!M291="1111")),TH!D291,""),"")</f>
        <v/>
      </c>
      <c r="B291" s="36" t="str">
        <f t="shared" si="7"/>
        <v/>
      </c>
      <c r="C291" s="187"/>
      <c r="D291" s="187"/>
      <c r="E291" s="187"/>
      <c r="F291" s="188"/>
      <c r="G291" s="854"/>
      <c r="H291" s="189"/>
      <c r="I291" s="249"/>
      <c r="J291" s="249"/>
      <c r="K291" s="589"/>
      <c r="L291" s="590"/>
      <c r="M291" s="590"/>
      <c r="N291" s="50" t="str">
        <f>IF(AND('331-CT'!$E$7=TH!H291,OR(L291="331",M291="331")),"331",IF(AND(OR(L291="131",M291="131"),H291='131-CT'!$E$7),"131",""))</f>
        <v/>
      </c>
      <c r="O291" s="50" t="str">
        <f>IF(AND($B291&gt;='111'!$N$11,$B291&lt;='111'!$O$11,OR($L291=$O$7,$M291=$O$7)),"x","")</f>
        <v/>
      </c>
      <c r="P291" s="50" t="str">
        <f>IF(AND($L291=$O$7,$B291&lt;'111'!$N$11),"x","")</f>
        <v/>
      </c>
      <c r="Q291" s="50" t="str">
        <f>IF(AND($M291=$O$7,$B291&lt;'111'!$N$11),"x","")</f>
        <v/>
      </c>
      <c r="R291" s="50" t="str">
        <f>IF(ISERROR(FIND('112'!$M$9,G291,1)),"",IF((AND(FIND('112'!$M$9,G291,1)&gt;=1,$B291&gt;='112'!$N$8,$B291&lt;='112'!$O$8,OR($L291='112'!$I$6,$M291='112'!$I$6))),"x",""))</f>
        <v/>
      </c>
      <c r="S291" s="50" t="str">
        <f>IF(ISERROR(FIND('112'!$M$9,G291,1)),"",IF((AND(LEFT(G291,2)=LEFT('112'!$M$9,2),B291&lt;'112'!$N$8,$L291='112'!$I$6)),"x",""))</f>
        <v/>
      </c>
      <c r="T291" s="50" t="str">
        <f>IF(ISERROR(FIND('112'!$M$9,G291,1)),"",IF((AND(RIGHT(G291,2)=RIGHT('112'!$M$9,2),B291&lt;'112'!$N$8,$M291='112'!$I$6)),"x",""))</f>
        <v/>
      </c>
      <c r="U291" s="50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0" t="str">
        <f>IF(OR(TH!L291=TH!$V$7,M291=TH!$V$7),"x","")</f>
        <v/>
      </c>
      <c r="W291" s="50" t="str">
        <f>IF(AND(B291&gt;='IN-NX'!$P$3,B291&lt;='IN-NX'!$Q$3,'IN-NX'!$D$7=D291,OR(LEFT(L291,2)="15",AND(LEFT(M291,2)&lt;&gt;"15",LEFT(M291,2)&lt;&gt;"33"))),"x","")</f>
        <v/>
      </c>
      <c r="X291" s="50" t="str">
        <f>IF(AND(OR(LEFT(TH!L291,2)="15",LEFT(TH!M291,2)="15"),'152-CT'!$J$8=TH!F291),"x","")</f>
        <v/>
      </c>
      <c r="Y291" s="50" t="str">
        <f>IF(AND(OR(LEFT(TH!L291,2)="15",LEFT(TH!M291,2)="15"),TK!$E$7=TH!F291),"x","")</f>
        <v/>
      </c>
      <c r="Z291" s="50" t="str">
        <f>IF(AND(B291&lt;=NKC!$N$8,B291&gt;=NKC!$M$8),"x","")</f>
        <v/>
      </c>
      <c r="AA291" s="845"/>
      <c r="AB291" s="581"/>
    </row>
    <row r="292" spans="1:30" s="201" customFormat="1" ht="15.75" customHeight="1">
      <c r="A292" s="846" t="str">
        <f>IF(B292&lt;&gt;"",IF(AND(B292&gt;=_TM1,B292&lt;=_TM2,OR(TH!L292="1111",TH!M292="1111")),TH!D292,""),"")</f>
        <v/>
      </c>
      <c r="B292" s="36" t="str">
        <f t="shared" si="7"/>
        <v/>
      </c>
      <c r="C292" s="187"/>
      <c r="D292" s="187"/>
      <c r="E292" s="187"/>
      <c r="F292" s="188"/>
      <c r="G292" s="854"/>
      <c r="H292" s="189"/>
      <c r="I292" s="249"/>
      <c r="J292" s="249"/>
      <c r="K292" s="589"/>
      <c r="L292" s="590"/>
      <c r="M292" s="590"/>
      <c r="N292" s="50" t="str">
        <f>IF(AND('331-CT'!$E$7=TH!H292,OR(L292="331",M292="331")),"331",IF(AND(OR(L292="131",M292="131"),H292='131-CT'!$E$7),"131",""))</f>
        <v/>
      </c>
      <c r="O292" s="50" t="str">
        <f>IF(AND($B292&gt;='111'!$N$11,$B292&lt;='111'!$O$11,OR($L292=$O$7,$M292=$O$7)),"x","")</f>
        <v/>
      </c>
      <c r="P292" s="50" t="str">
        <f>IF(AND($L292=$O$7,$B292&lt;'111'!$N$11),"x","")</f>
        <v/>
      </c>
      <c r="Q292" s="50" t="str">
        <f>IF(AND($M292=$O$7,$B292&lt;'111'!$N$11),"x","")</f>
        <v/>
      </c>
      <c r="R292" s="50" t="str">
        <f>IF(ISERROR(FIND('112'!$M$9,G292,1)),"",IF((AND(FIND('112'!$M$9,G292,1)&gt;=1,$B292&gt;='112'!$N$8,$B292&lt;='112'!$O$8,OR($L292='112'!$I$6,$M292='112'!$I$6))),"x",""))</f>
        <v/>
      </c>
      <c r="S292" s="50" t="str">
        <f>IF(ISERROR(FIND('112'!$M$9,G292,1)),"",IF((AND(LEFT(G292,2)=LEFT('112'!$M$9,2),B292&lt;'112'!$N$8,$L292='112'!$I$6)),"x",""))</f>
        <v/>
      </c>
      <c r="T292" s="50" t="str">
        <f>IF(ISERROR(FIND('112'!$M$9,G292,1)),"",IF((AND(RIGHT(G292,2)=RIGHT('112'!$M$9,2),B292&lt;'112'!$N$8,$M292='112'!$I$6)),"x",""))</f>
        <v/>
      </c>
      <c r="U292" s="50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0" t="str">
        <f>IF(OR(TH!L292=TH!$V$7,M292=TH!$V$7),"x","")</f>
        <v/>
      </c>
      <c r="W292" s="50" t="str">
        <f>IF(AND(B292&gt;='IN-NX'!$P$3,B292&lt;='IN-NX'!$Q$3,'IN-NX'!$D$7=D292,OR(LEFT(L292,2)="15",AND(LEFT(M292,2)&lt;&gt;"15",LEFT(M292,2)&lt;&gt;"33"))),"x","")</f>
        <v/>
      </c>
      <c r="X292" s="50" t="str">
        <f>IF(AND(OR(LEFT(TH!L292,2)="15",LEFT(TH!M292,2)="15"),'152-CT'!$J$8=TH!F292),"x","")</f>
        <v/>
      </c>
      <c r="Y292" s="50" t="str">
        <f>IF(AND(OR(LEFT(TH!L292,2)="15",LEFT(TH!M292,2)="15"),TK!$E$7=TH!F292),"x","")</f>
        <v/>
      </c>
      <c r="Z292" s="50" t="str">
        <f>IF(AND(B292&lt;=NKC!$N$8,B292&gt;=NKC!$M$8),"x","")</f>
        <v/>
      </c>
      <c r="AA292" s="845"/>
      <c r="AB292" s="581"/>
    </row>
    <row r="293" spans="1:30" s="201" customFormat="1" ht="15.75" customHeight="1">
      <c r="A293" s="846" t="str">
        <f>IF(B293&lt;&gt;"",IF(AND(B293&gt;=_TM1,B293&lt;=_TM2,OR(TH!L293="1111",TH!M293="1111")),TH!D293,""),"")</f>
        <v/>
      </c>
      <c r="B293" s="36" t="str">
        <f t="shared" si="7"/>
        <v/>
      </c>
      <c r="C293" s="187"/>
      <c r="D293" s="187"/>
      <c r="E293" s="187"/>
      <c r="F293" s="188"/>
      <c r="G293" s="854"/>
      <c r="H293" s="189"/>
      <c r="I293" s="249"/>
      <c r="J293" s="249"/>
      <c r="K293" s="589"/>
      <c r="L293" s="590"/>
      <c r="M293" s="590"/>
      <c r="N293" s="50" t="str">
        <f>IF(AND('331-CT'!$E$7=TH!H293,OR(L293="331",M293="331")),"331",IF(AND(OR(L293="131",M293="131"),H293='131-CT'!$E$7),"131",""))</f>
        <v/>
      </c>
      <c r="O293" s="50" t="str">
        <f>IF(AND($B293&gt;='111'!$N$11,$B293&lt;='111'!$O$11,OR($L293=$O$7,$M293=$O$7)),"x","")</f>
        <v/>
      </c>
      <c r="P293" s="50" t="str">
        <f>IF(AND($L293=$O$7,$B293&lt;'111'!$N$11),"x","")</f>
        <v/>
      </c>
      <c r="Q293" s="50" t="str">
        <f>IF(AND($M293=$O$7,$B293&lt;'111'!$N$11),"x","")</f>
        <v/>
      </c>
      <c r="R293" s="50" t="str">
        <f>IF(ISERROR(FIND('112'!$M$9,G293,1)),"",IF((AND(FIND('112'!$M$9,G293,1)&gt;=1,$B293&gt;='112'!$N$8,$B293&lt;='112'!$O$8,OR($L293='112'!$I$6,$M293='112'!$I$6))),"x",""))</f>
        <v/>
      </c>
      <c r="S293" s="50" t="str">
        <f>IF(ISERROR(FIND('112'!$M$9,G293,1)),"",IF((AND(LEFT(G293,2)=LEFT('112'!$M$9,2),B293&lt;'112'!$N$8,$L293='112'!$I$6)),"x",""))</f>
        <v/>
      </c>
      <c r="T293" s="50" t="str">
        <f>IF(ISERROR(FIND('112'!$M$9,G293,1)),"",IF((AND(RIGHT(G293,2)=RIGHT('112'!$M$9,2),B293&lt;'112'!$N$8,$M293='112'!$I$6)),"x",""))</f>
        <v/>
      </c>
      <c r="U293" s="50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0" t="str">
        <f>IF(OR(TH!L293=TH!$V$7,M293=TH!$V$7),"x","")</f>
        <v/>
      </c>
      <c r="W293" s="50" t="str">
        <f>IF(AND(B293&gt;='IN-NX'!$P$3,B293&lt;='IN-NX'!$Q$3,'IN-NX'!$D$7=D293,OR(LEFT(L293,2)="15",AND(LEFT(M293,2)&lt;&gt;"15",LEFT(M293,2)&lt;&gt;"33"))),"x","")</f>
        <v/>
      </c>
      <c r="X293" s="50" t="str">
        <f>IF(AND(OR(LEFT(TH!L293,2)="15",LEFT(TH!M293,2)="15"),'152-CT'!$J$8=TH!F293),"x","")</f>
        <v/>
      </c>
      <c r="Y293" s="50" t="str">
        <f>IF(AND(OR(LEFT(TH!L293,2)="15",LEFT(TH!M293,2)="15"),TK!$E$7=TH!F293),"x","")</f>
        <v/>
      </c>
      <c r="Z293" s="50" t="str">
        <f>IF(AND(B293&lt;=NKC!$N$8,B293&gt;=NKC!$M$8),"x","")</f>
        <v/>
      </c>
      <c r="AA293" s="845"/>
      <c r="AB293" s="581"/>
    </row>
    <row r="294" spans="1:30" s="201" customFormat="1" ht="15.75" customHeight="1">
      <c r="A294" s="846" t="str">
        <f>IF(B294&lt;&gt;"",IF(AND(B294&gt;=_TM1,B294&lt;=_TM2,OR(TH!L294="1111",TH!M294="1111")),TH!D294,""),"")</f>
        <v/>
      </c>
      <c r="B294" s="36" t="str">
        <f t="shared" si="7"/>
        <v/>
      </c>
      <c r="C294" s="187"/>
      <c r="D294" s="187"/>
      <c r="E294" s="187"/>
      <c r="F294" s="188"/>
      <c r="G294" s="854"/>
      <c r="H294" s="189"/>
      <c r="I294" s="249"/>
      <c r="J294" s="249"/>
      <c r="K294" s="589"/>
      <c r="L294" s="590"/>
      <c r="M294" s="590"/>
      <c r="N294" s="50" t="str">
        <f>IF(AND('331-CT'!$E$7=TH!H294,OR(L294="331",M294="331")),"331",IF(AND(OR(L294="131",M294="131"),H294='131-CT'!$E$7),"131",""))</f>
        <v/>
      </c>
      <c r="O294" s="50" t="str">
        <f>IF(AND($B294&gt;='111'!$N$11,$B294&lt;='111'!$O$11,OR($L294=$O$7,$M294=$O$7)),"x","")</f>
        <v/>
      </c>
      <c r="P294" s="50" t="str">
        <f>IF(AND($L294=$O$7,$B294&lt;'111'!$N$11),"x","")</f>
        <v/>
      </c>
      <c r="Q294" s="50" t="str">
        <f>IF(AND($M294=$O$7,$B294&lt;'111'!$N$11),"x","")</f>
        <v/>
      </c>
      <c r="R294" s="50" t="str">
        <f>IF(ISERROR(FIND('112'!$M$9,G294,1)),"",IF((AND(FIND('112'!$M$9,G294,1)&gt;=1,$B294&gt;='112'!$N$8,$B294&lt;='112'!$O$8,OR($L294='112'!$I$6,$M294='112'!$I$6))),"x",""))</f>
        <v/>
      </c>
      <c r="S294" s="50" t="str">
        <f>IF(ISERROR(FIND('112'!$M$9,G294,1)),"",IF((AND(LEFT(G294,2)=LEFT('112'!$M$9,2),B294&lt;'112'!$N$8,$L294='112'!$I$6)),"x",""))</f>
        <v/>
      </c>
      <c r="T294" s="50" t="str">
        <f>IF(ISERROR(FIND('112'!$M$9,G294,1)),"",IF((AND(RIGHT(G294,2)=RIGHT('112'!$M$9,2),B294&lt;'112'!$N$8,$M294='112'!$I$6)),"x",""))</f>
        <v/>
      </c>
      <c r="U294" s="50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0" t="str">
        <f>IF(OR(TH!L294=TH!$V$7,M294=TH!$V$7),"x","")</f>
        <v/>
      </c>
      <c r="W294" s="50" t="str">
        <f>IF(AND(B294&gt;='IN-NX'!$P$3,B294&lt;='IN-NX'!$Q$3,'IN-NX'!$D$7=D294,OR(LEFT(L294,2)="15",AND(LEFT(M294,2)&lt;&gt;"15",LEFT(M294,2)&lt;&gt;"33"))),"x","")</f>
        <v/>
      </c>
      <c r="X294" s="50" t="str">
        <f>IF(AND(OR(LEFT(TH!L294,2)="15",LEFT(TH!M294,2)="15"),'152-CT'!$J$8=TH!F294),"x","")</f>
        <v/>
      </c>
      <c r="Y294" s="50" t="str">
        <f>IF(AND(OR(LEFT(TH!L294,2)="15",LEFT(TH!M294,2)="15"),TK!$E$7=TH!F294),"x","")</f>
        <v/>
      </c>
      <c r="Z294" s="50" t="str">
        <f>IF(AND(B294&lt;=NKC!$N$8,B294&gt;=NKC!$M$8),"x","")</f>
        <v/>
      </c>
      <c r="AA294" s="845"/>
      <c r="AB294" s="581"/>
      <c r="AC294" s="581"/>
    </row>
    <row r="295" spans="1:30" s="201" customFormat="1" ht="15.75" customHeight="1">
      <c r="A295" s="846" t="str">
        <f>IF(B295&lt;&gt;"",IF(AND(B295&gt;=_TM1,B295&lt;=_TM2,OR(TH!L295="1111",TH!M295="1111")),TH!D295,""),"")</f>
        <v/>
      </c>
      <c r="B295" s="36" t="str">
        <f t="shared" si="7"/>
        <v/>
      </c>
      <c r="C295" s="187"/>
      <c r="D295" s="187"/>
      <c r="E295" s="187"/>
      <c r="F295" s="188"/>
      <c r="G295" s="854"/>
      <c r="H295" s="189"/>
      <c r="I295" s="249"/>
      <c r="J295" s="249"/>
      <c r="K295" s="589"/>
      <c r="L295" s="590"/>
      <c r="M295" s="590"/>
      <c r="N295" s="50" t="str">
        <f>IF(AND('331-CT'!$E$7=TH!H295,OR(L295="331",M295="331")),"331",IF(AND(OR(L295="131",M295="131"),H295='131-CT'!$E$7),"131",""))</f>
        <v/>
      </c>
      <c r="O295" s="50" t="str">
        <f>IF(AND($B295&gt;='111'!$N$11,$B295&lt;='111'!$O$11,OR($L295=$O$7,$M295=$O$7)),"x","")</f>
        <v/>
      </c>
      <c r="P295" s="50" t="str">
        <f>IF(AND($L295=$O$7,$B295&lt;'111'!$N$11),"x","")</f>
        <v/>
      </c>
      <c r="Q295" s="50" t="str">
        <f>IF(AND($M295=$O$7,$B295&lt;'111'!$N$11),"x","")</f>
        <v/>
      </c>
      <c r="R295" s="50" t="str">
        <f>IF(ISERROR(FIND('112'!$M$9,G295,1)),"",IF((AND(FIND('112'!$M$9,G295,1)&gt;=1,$B295&gt;='112'!$N$8,$B295&lt;='112'!$O$8,OR($L295='112'!$I$6,$M295='112'!$I$6))),"x",""))</f>
        <v/>
      </c>
      <c r="S295" s="50" t="str">
        <f>IF(ISERROR(FIND('112'!$M$9,G295,1)),"",IF((AND(LEFT(G295,2)=LEFT('112'!$M$9,2),B295&lt;'112'!$N$8,$L295='112'!$I$6)),"x",""))</f>
        <v/>
      </c>
      <c r="T295" s="50" t="str">
        <f>IF(ISERROR(FIND('112'!$M$9,G295,1)),"",IF((AND(RIGHT(G295,2)=RIGHT('112'!$M$9,2),B295&lt;'112'!$N$8,$M295='112'!$I$6)),"x",""))</f>
        <v/>
      </c>
      <c r="U295" s="50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0" t="str">
        <f>IF(OR(TH!L295=TH!$V$7,M295=TH!$V$7),"x","")</f>
        <v/>
      </c>
      <c r="W295" s="50" t="str">
        <f>IF(AND(B295&gt;='IN-NX'!$P$3,B295&lt;='IN-NX'!$Q$3,'IN-NX'!$D$7=D295,OR(LEFT(L295,2)="15",AND(LEFT(M295,2)&lt;&gt;"15",LEFT(M295,2)&lt;&gt;"33"))),"x","")</f>
        <v/>
      </c>
      <c r="X295" s="50" t="str">
        <f>IF(AND(OR(LEFT(TH!L295,2)="15",LEFT(TH!M295,2)="15"),'152-CT'!$J$8=TH!F295),"x","")</f>
        <v/>
      </c>
      <c r="Y295" s="50" t="str">
        <f>IF(AND(OR(LEFT(TH!L295,2)="15",LEFT(TH!M295,2)="15"),TK!$E$7=TH!F295),"x","")</f>
        <v/>
      </c>
      <c r="Z295" s="50" t="str">
        <f>IF(AND(B295&lt;=NKC!$N$8,B295&gt;=NKC!$M$8),"x","")</f>
        <v/>
      </c>
      <c r="AA295" s="845"/>
      <c r="AB295" s="581"/>
      <c r="AC295" s="581"/>
      <c r="AD295" s="581"/>
    </row>
    <row r="296" spans="1:30" s="201" customFormat="1" ht="15.75" customHeight="1">
      <c r="A296" s="846" t="str">
        <f>IF(B296&lt;&gt;"",IF(AND(B296&gt;=_TM1,B296&lt;=_TM2,OR(TH!L296="1111",TH!M296="1111")),TH!D296,""),"")</f>
        <v/>
      </c>
      <c r="B296" s="36" t="str">
        <f t="shared" si="7"/>
        <v/>
      </c>
      <c r="C296" s="187"/>
      <c r="D296" s="187"/>
      <c r="E296" s="187"/>
      <c r="F296" s="188"/>
      <c r="G296" s="854"/>
      <c r="H296" s="189"/>
      <c r="I296" s="249"/>
      <c r="J296" s="249"/>
      <c r="K296" s="589"/>
      <c r="L296" s="590"/>
      <c r="M296" s="590"/>
      <c r="N296" s="50" t="str">
        <f>IF(AND('331-CT'!$E$7=TH!H296,OR(L296="331",M296="331")),"331",IF(AND(OR(L296="131",M296="131"),H296='131-CT'!$E$7),"131",""))</f>
        <v/>
      </c>
      <c r="O296" s="50" t="str">
        <f>IF(AND($B296&gt;='111'!$N$11,$B296&lt;='111'!$O$11,OR($L296=$O$7,$M296=$O$7)),"x","")</f>
        <v/>
      </c>
      <c r="P296" s="50" t="str">
        <f>IF(AND($L296=$O$7,$B296&lt;'111'!$N$11),"x","")</f>
        <v/>
      </c>
      <c r="Q296" s="50" t="str">
        <f>IF(AND($M296=$O$7,$B296&lt;'111'!$N$11),"x","")</f>
        <v/>
      </c>
      <c r="R296" s="50" t="str">
        <f>IF(ISERROR(FIND('112'!$M$9,G296,1)),"",IF((AND(FIND('112'!$M$9,G296,1)&gt;=1,$B296&gt;='112'!$N$8,$B296&lt;='112'!$O$8,OR($L296='112'!$I$6,$M296='112'!$I$6))),"x",""))</f>
        <v/>
      </c>
      <c r="S296" s="50" t="str">
        <f>IF(ISERROR(FIND('112'!$M$9,G296,1)),"",IF((AND(LEFT(G296,2)=LEFT('112'!$M$9,2),B296&lt;'112'!$N$8,$L296='112'!$I$6)),"x",""))</f>
        <v/>
      </c>
      <c r="T296" s="50" t="str">
        <f>IF(ISERROR(FIND('112'!$M$9,G296,1)),"",IF((AND(RIGHT(G296,2)=RIGHT('112'!$M$9,2),B296&lt;'112'!$N$8,$M296='112'!$I$6)),"x",""))</f>
        <v/>
      </c>
      <c r="U296" s="50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0" t="str">
        <f>IF(OR(TH!L296=TH!$V$7,M296=TH!$V$7),"x","")</f>
        <v/>
      </c>
      <c r="W296" s="50" t="str">
        <f>IF(AND(B296&gt;='IN-NX'!$P$3,B296&lt;='IN-NX'!$Q$3,'IN-NX'!$D$7=D296,OR(LEFT(L296,2)="15",AND(LEFT(M296,2)&lt;&gt;"15",LEFT(M296,2)&lt;&gt;"33"))),"x","")</f>
        <v/>
      </c>
      <c r="X296" s="50" t="str">
        <f>IF(AND(OR(LEFT(TH!L296,2)="15",LEFT(TH!M296,2)="15"),'152-CT'!$J$8=TH!F296),"x","")</f>
        <v/>
      </c>
      <c r="Y296" s="50" t="str">
        <f>IF(AND(OR(LEFT(TH!L296,2)="15",LEFT(TH!M296,2)="15"),TK!$E$7=TH!F296),"x","")</f>
        <v/>
      </c>
      <c r="Z296" s="50" t="str">
        <f>IF(AND(B296&lt;=NKC!$N$8,B296&gt;=NKC!$M$8),"x","")</f>
        <v/>
      </c>
      <c r="AA296" s="845"/>
      <c r="AB296" s="581"/>
      <c r="AD296" s="581"/>
    </row>
    <row r="297" spans="1:30" s="201" customFormat="1" ht="15.75" customHeight="1">
      <c r="A297" s="846" t="str">
        <f>IF(B297&lt;&gt;"",IF(AND(B297&gt;=_TM1,B297&lt;=_TM2,OR(TH!L297="1111",TH!M297="1111")),TH!D297,""),"")</f>
        <v/>
      </c>
      <c r="B297" s="36" t="str">
        <f t="shared" si="7"/>
        <v/>
      </c>
      <c r="C297" s="187"/>
      <c r="D297" s="187"/>
      <c r="E297" s="187"/>
      <c r="F297" s="188"/>
      <c r="G297" s="854"/>
      <c r="H297" s="189"/>
      <c r="I297" s="249"/>
      <c r="J297" s="249"/>
      <c r="K297" s="589"/>
      <c r="L297" s="590"/>
      <c r="M297" s="590"/>
      <c r="N297" s="50" t="str">
        <f>IF(AND('331-CT'!$E$7=TH!H297,OR(L297="331",M297="331")),"331",IF(AND(OR(L297="131",M297="131"),H297='131-CT'!$E$7),"131",""))</f>
        <v/>
      </c>
      <c r="O297" s="50" t="str">
        <f>IF(AND($B297&gt;='111'!$N$11,$B297&lt;='111'!$O$11,OR($L297=$O$7,$M297=$O$7)),"x","")</f>
        <v/>
      </c>
      <c r="P297" s="50" t="str">
        <f>IF(AND($L297=$O$7,$B297&lt;'111'!$N$11),"x","")</f>
        <v/>
      </c>
      <c r="Q297" s="50" t="str">
        <f>IF(AND($M297=$O$7,$B297&lt;'111'!$N$11),"x","")</f>
        <v/>
      </c>
      <c r="R297" s="50" t="str">
        <f>IF(ISERROR(FIND('112'!$M$9,G297,1)),"",IF((AND(FIND('112'!$M$9,G297,1)&gt;=1,$B297&gt;='112'!$N$8,$B297&lt;='112'!$O$8,OR($L297='112'!$I$6,$M297='112'!$I$6))),"x",""))</f>
        <v/>
      </c>
      <c r="S297" s="50" t="str">
        <f>IF(ISERROR(FIND('112'!$M$9,G297,1)),"",IF((AND(LEFT(G297,2)=LEFT('112'!$M$9,2),B297&lt;'112'!$N$8,$L297='112'!$I$6)),"x",""))</f>
        <v/>
      </c>
      <c r="T297" s="50" t="str">
        <f>IF(ISERROR(FIND('112'!$M$9,G297,1)),"",IF((AND(RIGHT(G297,2)=RIGHT('112'!$M$9,2),B297&lt;'112'!$N$8,$M297='112'!$I$6)),"x",""))</f>
        <v/>
      </c>
      <c r="U297" s="50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0" t="str">
        <f>IF(OR(TH!L297=TH!$V$7,M297=TH!$V$7),"x","")</f>
        <v/>
      </c>
      <c r="W297" s="50" t="str">
        <f>IF(AND(B297&gt;='IN-NX'!$P$3,B297&lt;='IN-NX'!$Q$3,'IN-NX'!$D$7=D297,OR(LEFT(L297,2)="15",AND(LEFT(M297,2)&lt;&gt;"15",LEFT(M297,2)&lt;&gt;"33"))),"x","")</f>
        <v/>
      </c>
      <c r="X297" s="50" t="str">
        <f>IF(AND(OR(LEFT(TH!L297,2)="15",LEFT(TH!M297,2)="15"),'152-CT'!$J$8=TH!F297),"x","")</f>
        <v/>
      </c>
      <c r="Y297" s="50" t="str">
        <f>IF(AND(OR(LEFT(TH!L297,2)="15",LEFT(TH!M297,2)="15"),TK!$E$7=TH!F297),"x","")</f>
        <v/>
      </c>
      <c r="Z297" s="50" t="str">
        <f>IF(AND(B297&lt;=NKC!$N$8,B297&gt;=NKC!$M$8),"x","")</f>
        <v/>
      </c>
      <c r="AA297" s="845"/>
      <c r="AB297" s="581"/>
      <c r="AC297" s="581"/>
      <c r="AD297" s="581"/>
    </row>
    <row r="298" spans="1:30" s="201" customFormat="1" ht="15.75" customHeight="1">
      <c r="A298" s="846" t="str">
        <f>IF(B298&lt;&gt;"",IF(AND(B298&gt;=_TM1,B298&lt;=_TM2,OR(TH!L298="1111",TH!M298="1111")),TH!D298,""),"")</f>
        <v/>
      </c>
      <c r="B298" s="36" t="str">
        <f t="shared" si="7"/>
        <v/>
      </c>
      <c r="C298" s="187"/>
      <c r="D298" s="187"/>
      <c r="E298" s="187"/>
      <c r="F298" s="188"/>
      <c r="G298" s="854"/>
      <c r="H298" s="189"/>
      <c r="I298" s="249"/>
      <c r="J298" s="249"/>
      <c r="K298" s="589"/>
      <c r="L298" s="590"/>
      <c r="M298" s="590"/>
      <c r="N298" s="50" t="str">
        <f>IF(AND('331-CT'!$E$7=TH!H298,OR(L298="331",M298="331")),"331",IF(AND(OR(L298="131",M298="131"),H298='131-CT'!$E$7),"131",""))</f>
        <v/>
      </c>
      <c r="O298" s="50" t="str">
        <f>IF(AND($B298&gt;='111'!$N$11,$B298&lt;='111'!$O$11,OR($L298=$O$7,$M298=$O$7)),"x","")</f>
        <v/>
      </c>
      <c r="P298" s="50" t="str">
        <f>IF(AND($L298=$O$7,$B298&lt;'111'!$N$11),"x","")</f>
        <v/>
      </c>
      <c r="Q298" s="50" t="str">
        <f>IF(AND($M298=$O$7,$B298&lt;'111'!$N$11),"x","")</f>
        <v/>
      </c>
      <c r="R298" s="50" t="str">
        <f>IF(ISERROR(FIND('112'!$M$9,G298,1)),"",IF((AND(FIND('112'!$M$9,G298,1)&gt;=1,$B298&gt;='112'!$N$8,$B298&lt;='112'!$O$8,OR($L298='112'!$I$6,$M298='112'!$I$6))),"x",""))</f>
        <v/>
      </c>
      <c r="S298" s="50" t="str">
        <f>IF(ISERROR(FIND('112'!$M$9,G298,1)),"",IF((AND(LEFT(G298,2)=LEFT('112'!$M$9,2),B298&lt;'112'!$N$8,$L298='112'!$I$6)),"x",""))</f>
        <v/>
      </c>
      <c r="T298" s="50" t="str">
        <f>IF(ISERROR(FIND('112'!$M$9,G298,1)),"",IF((AND(RIGHT(G298,2)=RIGHT('112'!$M$9,2),B298&lt;'112'!$N$8,$M298='112'!$I$6)),"x",""))</f>
        <v/>
      </c>
      <c r="U298" s="50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0" t="str">
        <f>IF(OR(TH!L298=TH!$V$7,M298=TH!$V$7),"x","")</f>
        <v/>
      </c>
      <c r="W298" s="50" t="str">
        <f>IF(AND(B298&gt;='IN-NX'!$P$3,B298&lt;='IN-NX'!$Q$3,'IN-NX'!$D$7=D298,OR(LEFT(L298,2)="15",AND(LEFT(M298,2)&lt;&gt;"15",LEFT(M298,2)&lt;&gt;"33"))),"x","")</f>
        <v/>
      </c>
      <c r="X298" s="50" t="str">
        <f>IF(AND(OR(LEFT(TH!L298,2)="15",LEFT(TH!M298,2)="15"),'152-CT'!$J$8=TH!F298),"x","")</f>
        <v/>
      </c>
      <c r="Y298" s="50" t="str">
        <f>IF(AND(OR(LEFT(TH!L298,2)="15",LEFT(TH!M298,2)="15"),TK!$E$7=TH!F298),"x","")</f>
        <v/>
      </c>
      <c r="Z298" s="50" t="str">
        <f>IF(AND(B298&lt;=NKC!$N$8,B298&gt;=NKC!$M$8),"x","")</f>
        <v/>
      </c>
      <c r="AA298" s="845"/>
      <c r="AB298" s="581"/>
      <c r="AC298" s="581"/>
      <c r="AD298" s="581"/>
    </row>
    <row r="299" spans="1:30" s="201" customFormat="1" ht="15.75" customHeight="1">
      <c r="A299" s="846" t="str">
        <f>IF(B299&lt;&gt;"",IF(AND(B299&gt;=_TM1,B299&lt;=_TM2,OR(TH!L299="1111",TH!M299="1111")),TH!D299,""),"")</f>
        <v/>
      </c>
      <c r="B299" s="36" t="str">
        <f t="shared" si="7"/>
        <v/>
      </c>
      <c r="C299" s="187"/>
      <c r="D299" s="187"/>
      <c r="E299" s="187"/>
      <c r="F299" s="188"/>
      <c r="G299" s="854"/>
      <c r="H299" s="189"/>
      <c r="I299" s="249"/>
      <c r="J299" s="249"/>
      <c r="K299" s="589"/>
      <c r="L299" s="590"/>
      <c r="M299" s="590"/>
      <c r="N299" s="50" t="str">
        <f>IF(AND('331-CT'!$E$7=TH!H299,OR(L299="331",M299="331")),"331",IF(AND(OR(L299="131",M299="131"),H299='131-CT'!$E$7),"131",""))</f>
        <v/>
      </c>
      <c r="O299" s="50" t="str">
        <f>IF(AND($B299&gt;='111'!$N$11,$B299&lt;='111'!$O$11,OR($L299=$O$7,$M299=$O$7)),"x","")</f>
        <v/>
      </c>
      <c r="P299" s="50" t="str">
        <f>IF(AND($L299=$O$7,$B299&lt;'111'!$N$11),"x","")</f>
        <v/>
      </c>
      <c r="Q299" s="50" t="str">
        <f>IF(AND($M299=$O$7,$B299&lt;'111'!$N$11),"x","")</f>
        <v/>
      </c>
      <c r="R299" s="50" t="str">
        <f>IF(ISERROR(FIND('112'!$M$9,G299,1)),"",IF((AND(FIND('112'!$M$9,G299,1)&gt;=1,$B299&gt;='112'!$N$8,$B299&lt;='112'!$O$8,OR($L299='112'!$I$6,$M299='112'!$I$6))),"x",""))</f>
        <v/>
      </c>
      <c r="S299" s="50" t="str">
        <f>IF(ISERROR(FIND('112'!$M$9,G299,1)),"",IF((AND(LEFT(G299,2)=LEFT('112'!$M$9,2),B299&lt;'112'!$N$8,$L299='112'!$I$6)),"x",""))</f>
        <v/>
      </c>
      <c r="T299" s="50" t="str">
        <f>IF(ISERROR(FIND('112'!$M$9,G299,1)),"",IF((AND(RIGHT(G299,2)=RIGHT('112'!$M$9,2),B299&lt;'112'!$N$8,$M299='112'!$I$6)),"x",""))</f>
        <v/>
      </c>
      <c r="U299" s="50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0" t="str">
        <f>IF(OR(TH!L299=TH!$V$7,M299=TH!$V$7),"x","")</f>
        <v/>
      </c>
      <c r="W299" s="50" t="str">
        <f>IF(AND(B299&gt;='IN-NX'!$P$3,B299&lt;='IN-NX'!$Q$3,'IN-NX'!$D$7=D299,OR(LEFT(L299,2)="15",AND(LEFT(M299,2)&lt;&gt;"15",LEFT(M299,2)&lt;&gt;"33"))),"x","")</f>
        <v/>
      </c>
      <c r="X299" s="50" t="str">
        <f>IF(AND(OR(LEFT(TH!L299,2)="15",LEFT(TH!M299,2)="15"),'152-CT'!$J$8=TH!F299),"x","")</f>
        <v/>
      </c>
      <c r="Y299" s="50" t="str">
        <f>IF(AND(OR(LEFT(TH!L299,2)="15",LEFT(TH!M299,2)="15"),TK!$E$7=TH!F299),"x","")</f>
        <v/>
      </c>
      <c r="Z299" s="50" t="str">
        <f>IF(AND(B299&lt;=NKC!$N$8,B299&gt;=NKC!$M$8),"x","")</f>
        <v/>
      </c>
      <c r="AA299" s="845"/>
      <c r="AB299" s="581"/>
      <c r="AD299" s="581"/>
    </row>
    <row r="300" spans="1:30" s="201" customFormat="1" ht="15.75" customHeight="1">
      <c r="A300" s="846" t="str">
        <f>IF(B300&lt;&gt;"",IF(AND(B300&gt;=_TM1,B300&lt;=_TM2,OR(TH!L300="1111",TH!M300="1111")),TH!D300,""),"")</f>
        <v/>
      </c>
      <c r="B300" s="36" t="str">
        <f t="shared" si="7"/>
        <v/>
      </c>
      <c r="C300" s="187"/>
      <c r="D300" s="187"/>
      <c r="E300" s="187"/>
      <c r="F300" s="188"/>
      <c r="G300" s="854"/>
      <c r="H300" s="189"/>
      <c r="I300" s="249"/>
      <c r="J300" s="249"/>
      <c r="K300" s="589"/>
      <c r="L300" s="590"/>
      <c r="M300" s="590"/>
      <c r="N300" s="50" t="str">
        <f>IF(AND('331-CT'!$E$7=TH!H300,OR(L300="331",M300="331")),"331",IF(AND(OR(L300="131",M300="131"),H300='131-CT'!$E$7),"131",""))</f>
        <v/>
      </c>
      <c r="O300" s="50" t="str">
        <f>IF(AND($B300&gt;='111'!$N$11,$B300&lt;='111'!$O$11,OR($L300=$O$7,$M300=$O$7)),"x","")</f>
        <v/>
      </c>
      <c r="P300" s="50" t="str">
        <f>IF(AND($L300=$O$7,$B300&lt;'111'!$N$11),"x","")</f>
        <v/>
      </c>
      <c r="Q300" s="50" t="str">
        <f>IF(AND($M300=$O$7,$B300&lt;'111'!$N$11),"x","")</f>
        <v/>
      </c>
      <c r="R300" s="50" t="str">
        <f>IF(ISERROR(FIND('112'!$M$9,G300,1)),"",IF((AND(FIND('112'!$M$9,G300,1)&gt;=1,$B300&gt;='112'!$N$8,$B300&lt;='112'!$O$8,OR($L300='112'!$I$6,$M300='112'!$I$6))),"x",""))</f>
        <v/>
      </c>
      <c r="S300" s="50" t="str">
        <f>IF(ISERROR(FIND('112'!$M$9,G300,1)),"",IF((AND(LEFT(G300,2)=LEFT('112'!$M$9,2),B300&lt;'112'!$N$8,$L300='112'!$I$6)),"x",""))</f>
        <v/>
      </c>
      <c r="T300" s="50" t="str">
        <f>IF(ISERROR(FIND('112'!$M$9,G300,1)),"",IF((AND(RIGHT(G300,2)=RIGHT('112'!$M$9,2),B300&lt;'112'!$N$8,$M300='112'!$I$6)),"x",""))</f>
        <v/>
      </c>
      <c r="U300" s="50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0" t="str">
        <f>IF(OR(TH!L300=TH!$V$7,M300=TH!$V$7),"x","")</f>
        <v/>
      </c>
      <c r="W300" s="50" t="str">
        <f>IF(AND(B300&gt;='IN-NX'!$P$3,B300&lt;='IN-NX'!$Q$3,'IN-NX'!$D$7=D300,OR(LEFT(L300,2)="15",AND(LEFT(M300,2)&lt;&gt;"15",LEFT(M300,2)&lt;&gt;"33"))),"x","")</f>
        <v/>
      </c>
      <c r="X300" s="50" t="str">
        <f>IF(AND(OR(LEFT(TH!L300,2)="15",LEFT(TH!M300,2)="15"),'152-CT'!$J$8=TH!F300),"x","")</f>
        <v/>
      </c>
      <c r="Y300" s="50" t="str">
        <f>IF(AND(OR(LEFT(TH!L300,2)="15",LEFT(TH!M300,2)="15"),TK!$E$7=TH!F300),"x","")</f>
        <v/>
      </c>
      <c r="Z300" s="50" t="str">
        <f>IF(AND(B300&lt;=NKC!$N$8,B300&gt;=NKC!$M$8),"x","")</f>
        <v/>
      </c>
      <c r="AA300" s="845"/>
      <c r="AB300" s="581"/>
      <c r="AC300" s="581"/>
      <c r="AD300" s="581"/>
    </row>
    <row r="301" spans="1:30" s="201" customFormat="1" ht="15.75" customHeight="1">
      <c r="A301" s="846" t="str">
        <f>IF(B301&lt;&gt;"",IF(AND(B301&gt;=_TM1,B301&lt;=_TM2,OR(TH!L301="1111",TH!M301="1111")),TH!D301,""),"")</f>
        <v/>
      </c>
      <c r="B301" s="36" t="str">
        <f t="shared" si="7"/>
        <v/>
      </c>
      <c r="C301" s="187"/>
      <c r="D301" s="187"/>
      <c r="E301" s="187"/>
      <c r="F301" s="188"/>
      <c r="G301" s="854"/>
      <c r="H301" s="189"/>
      <c r="I301" s="249"/>
      <c r="J301" s="249"/>
      <c r="K301" s="589"/>
      <c r="L301" s="590"/>
      <c r="M301" s="590"/>
      <c r="N301" s="50" t="str">
        <f>IF(AND('331-CT'!$E$7=TH!H301,OR(L301="331",M301="331")),"331",IF(AND(OR(L301="131",M301="131"),H301='131-CT'!$E$7),"131",""))</f>
        <v/>
      </c>
      <c r="O301" s="50" t="str">
        <f>IF(AND($B301&gt;='111'!$N$11,$B301&lt;='111'!$O$11,OR($L301=$O$7,$M301=$O$7)),"x","")</f>
        <v/>
      </c>
      <c r="P301" s="50" t="str">
        <f>IF(AND($L301=$O$7,$B301&lt;'111'!$N$11),"x","")</f>
        <v/>
      </c>
      <c r="Q301" s="50" t="str">
        <f>IF(AND($M301=$O$7,$B301&lt;'111'!$N$11),"x","")</f>
        <v/>
      </c>
      <c r="R301" s="50" t="str">
        <f>IF(ISERROR(FIND('112'!$M$9,G301,1)),"",IF((AND(FIND('112'!$M$9,G301,1)&gt;=1,$B301&gt;='112'!$N$8,$B301&lt;='112'!$O$8,OR($L301='112'!$I$6,$M301='112'!$I$6))),"x",""))</f>
        <v/>
      </c>
      <c r="S301" s="50" t="str">
        <f>IF(ISERROR(FIND('112'!$M$9,G301,1)),"",IF((AND(LEFT(G301,2)=LEFT('112'!$M$9,2),B301&lt;'112'!$N$8,$L301='112'!$I$6)),"x",""))</f>
        <v/>
      </c>
      <c r="T301" s="50" t="str">
        <f>IF(ISERROR(FIND('112'!$M$9,G301,1)),"",IF((AND(RIGHT(G301,2)=RIGHT('112'!$M$9,2),B301&lt;'112'!$N$8,$M301='112'!$I$6)),"x",""))</f>
        <v/>
      </c>
      <c r="U301" s="50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0" t="str">
        <f>IF(OR(TH!L301=TH!$V$7,M301=TH!$V$7),"x","")</f>
        <v/>
      </c>
      <c r="W301" s="50" t="str">
        <f>IF(AND(B301&gt;='IN-NX'!$P$3,B301&lt;='IN-NX'!$Q$3,'IN-NX'!$D$7=D301,OR(LEFT(L301,2)="15",AND(LEFT(M301,2)&lt;&gt;"15",LEFT(M301,2)&lt;&gt;"33"))),"x","")</f>
        <v/>
      </c>
      <c r="X301" s="50" t="str">
        <f>IF(AND(OR(LEFT(TH!L301,2)="15",LEFT(TH!M301,2)="15"),'152-CT'!$J$8=TH!F301),"x","")</f>
        <v/>
      </c>
      <c r="Y301" s="50" t="str">
        <f>IF(AND(OR(LEFT(TH!L301,2)="15",LEFT(TH!M301,2)="15"),TK!$E$7=TH!F301),"x","")</f>
        <v/>
      </c>
      <c r="Z301" s="50" t="str">
        <f>IF(AND(B301&lt;=NKC!$N$8,B301&gt;=NKC!$M$8),"x","")</f>
        <v/>
      </c>
      <c r="AA301" s="845"/>
      <c r="AB301" s="581"/>
      <c r="AC301" s="581"/>
      <c r="AD301" s="581"/>
    </row>
    <row r="302" spans="1:30" s="201" customFormat="1" ht="15.75" customHeight="1">
      <c r="A302" s="846" t="str">
        <f>IF(B302&lt;&gt;"",IF(AND(B302&gt;=_TM1,B302&lt;=_TM2,OR(TH!L302="1111",TH!M302="1111")),TH!D302,""),"")</f>
        <v/>
      </c>
      <c r="B302" s="36" t="str">
        <f t="shared" si="7"/>
        <v/>
      </c>
      <c r="C302" s="187"/>
      <c r="D302" s="187"/>
      <c r="E302" s="187"/>
      <c r="F302" s="188"/>
      <c r="G302" s="854"/>
      <c r="H302" s="189"/>
      <c r="I302" s="249"/>
      <c r="J302" s="249"/>
      <c r="K302" s="589"/>
      <c r="L302" s="590"/>
      <c r="M302" s="590"/>
      <c r="N302" s="50" t="str">
        <f>IF(AND('331-CT'!$E$7=TH!H302,OR(L302="331",M302="331")),"331",IF(AND(OR(L302="131",M302="131"),H302='131-CT'!$E$7),"131",""))</f>
        <v/>
      </c>
      <c r="O302" s="50" t="str">
        <f>IF(AND($B302&gt;='111'!$N$11,$B302&lt;='111'!$O$11,OR($L302=$O$7,$M302=$O$7)),"x","")</f>
        <v/>
      </c>
      <c r="P302" s="50" t="str">
        <f>IF(AND($L302=$O$7,$B302&lt;'111'!$N$11),"x","")</f>
        <v/>
      </c>
      <c r="Q302" s="50" t="str">
        <f>IF(AND($M302=$O$7,$B302&lt;'111'!$N$11),"x","")</f>
        <v/>
      </c>
      <c r="R302" s="50" t="str">
        <f>IF(ISERROR(FIND('112'!$M$9,G302,1)),"",IF((AND(FIND('112'!$M$9,G302,1)&gt;=1,$B302&gt;='112'!$N$8,$B302&lt;='112'!$O$8,OR($L302='112'!$I$6,$M302='112'!$I$6))),"x",""))</f>
        <v/>
      </c>
      <c r="S302" s="50" t="str">
        <f>IF(ISERROR(FIND('112'!$M$9,G302,1)),"",IF((AND(LEFT(G302,2)=LEFT('112'!$M$9,2),B302&lt;'112'!$N$8,$L302='112'!$I$6)),"x",""))</f>
        <v/>
      </c>
      <c r="T302" s="50" t="str">
        <f>IF(ISERROR(FIND('112'!$M$9,G302,1)),"",IF((AND(RIGHT(G302,2)=RIGHT('112'!$M$9,2),B302&lt;'112'!$N$8,$M302='112'!$I$6)),"x",""))</f>
        <v/>
      </c>
      <c r="U302" s="50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0" t="str">
        <f>IF(OR(TH!L302=TH!$V$7,M302=TH!$V$7),"x","")</f>
        <v/>
      </c>
      <c r="W302" s="50" t="str">
        <f>IF(AND(B302&gt;='IN-NX'!$P$3,B302&lt;='IN-NX'!$Q$3,'IN-NX'!$D$7=D302,OR(LEFT(L302,2)="15",AND(LEFT(M302,2)&lt;&gt;"15",LEFT(M302,2)&lt;&gt;"33"))),"x","")</f>
        <v/>
      </c>
      <c r="X302" s="50" t="str">
        <f>IF(AND(OR(LEFT(TH!L302,2)="15",LEFT(TH!M302,2)="15"),'152-CT'!$J$8=TH!F302),"x","")</f>
        <v/>
      </c>
      <c r="Y302" s="50" t="str">
        <f>IF(AND(OR(LEFT(TH!L302,2)="15",LEFT(TH!M302,2)="15"),TK!$E$7=TH!F302),"x","")</f>
        <v/>
      </c>
      <c r="Z302" s="50" t="str">
        <f>IF(AND(B302&lt;=NKC!$N$8,B302&gt;=NKC!$M$8),"x","")</f>
        <v/>
      </c>
      <c r="AA302" s="845"/>
      <c r="AB302" s="581"/>
      <c r="AC302" s="581"/>
      <c r="AD302" s="581"/>
    </row>
    <row r="303" spans="1:30" s="201" customFormat="1" ht="15.75" customHeight="1">
      <c r="A303" s="846" t="str">
        <f>IF(B303&lt;&gt;"",IF(AND(B303&gt;=_TM1,B303&lt;=_TM2,OR(TH!L303="1111",TH!M303="1111")),TH!D303,""),"")</f>
        <v/>
      </c>
      <c r="B303" s="36" t="str">
        <f t="shared" si="7"/>
        <v/>
      </c>
      <c r="C303" s="187"/>
      <c r="D303" s="187"/>
      <c r="E303" s="187"/>
      <c r="F303" s="188"/>
      <c r="G303" s="854"/>
      <c r="H303" s="189"/>
      <c r="I303" s="249"/>
      <c r="J303" s="249"/>
      <c r="K303" s="589"/>
      <c r="L303" s="590"/>
      <c r="M303" s="590"/>
      <c r="N303" s="50" t="str">
        <f>IF(AND('331-CT'!$E$7=TH!H303,OR(L303="331",M303="331")),"331",IF(AND(OR(L303="131",M303="131"),H303='131-CT'!$E$7),"131",""))</f>
        <v/>
      </c>
      <c r="O303" s="50" t="str">
        <f>IF(AND($B303&gt;='111'!$N$11,$B303&lt;='111'!$O$11,OR($L303=$O$7,$M303=$O$7)),"x","")</f>
        <v/>
      </c>
      <c r="P303" s="50" t="str">
        <f>IF(AND($L303=$O$7,$B303&lt;'111'!$N$11),"x","")</f>
        <v/>
      </c>
      <c r="Q303" s="50" t="str">
        <f>IF(AND($M303=$O$7,$B303&lt;'111'!$N$11),"x","")</f>
        <v/>
      </c>
      <c r="R303" s="50" t="str">
        <f>IF(ISERROR(FIND('112'!$M$9,G303,1)),"",IF((AND(FIND('112'!$M$9,G303,1)&gt;=1,$B303&gt;='112'!$N$8,$B303&lt;='112'!$O$8,OR($L303='112'!$I$6,$M303='112'!$I$6))),"x",""))</f>
        <v/>
      </c>
      <c r="S303" s="50" t="str">
        <f>IF(ISERROR(FIND('112'!$M$9,G303,1)),"",IF((AND(LEFT(G303,2)=LEFT('112'!$M$9,2),B303&lt;'112'!$N$8,$L303='112'!$I$6)),"x",""))</f>
        <v/>
      </c>
      <c r="T303" s="50" t="str">
        <f>IF(ISERROR(FIND('112'!$M$9,G303,1)),"",IF((AND(RIGHT(G303,2)=RIGHT('112'!$M$9,2),B303&lt;'112'!$N$8,$M303='112'!$I$6)),"x",""))</f>
        <v/>
      </c>
      <c r="U303" s="50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0" t="str">
        <f>IF(OR(TH!L303=TH!$V$7,M303=TH!$V$7),"x","")</f>
        <v/>
      </c>
      <c r="W303" s="50" t="str">
        <f>IF(AND(B303&gt;='IN-NX'!$P$3,B303&lt;='IN-NX'!$Q$3,'IN-NX'!$D$7=D303,OR(LEFT(L303,2)="15",AND(LEFT(M303,2)&lt;&gt;"15",LEFT(M303,2)&lt;&gt;"33"))),"x","")</f>
        <v/>
      </c>
      <c r="X303" s="50" t="str">
        <f>IF(AND(OR(LEFT(TH!L303,2)="15",LEFT(TH!M303,2)="15"),'152-CT'!$J$8=TH!F303),"x","")</f>
        <v/>
      </c>
      <c r="Y303" s="50" t="str">
        <f>IF(AND(OR(LEFT(TH!L303,2)="15",LEFT(TH!M303,2)="15"),TK!$E$7=TH!F303),"x","")</f>
        <v/>
      </c>
      <c r="Z303" s="50" t="str">
        <f>IF(AND(B303&lt;=NKC!$N$8,B303&gt;=NKC!$M$8),"x","")</f>
        <v/>
      </c>
      <c r="AA303" s="845"/>
      <c r="AB303" s="581"/>
      <c r="AC303" s="581"/>
      <c r="AD303" s="581"/>
    </row>
    <row r="304" spans="1:30" s="201" customFormat="1" ht="15.75" customHeight="1">
      <c r="A304" s="846" t="str">
        <f>IF(B304&lt;&gt;"",IF(AND(B304&gt;=_TM1,B304&lt;=_TM2,OR(TH!L304="1111",TH!M304="1111")),TH!D304,""),"")</f>
        <v/>
      </c>
      <c r="B304" s="36" t="str">
        <f t="shared" si="7"/>
        <v/>
      </c>
      <c r="C304" s="187"/>
      <c r="D304" s="187"/>
      <c r="E304" s="187"/>
      <c r="F304" s="188"/>
      <c r="G304" s="854"/>
      <c r="H304" s="189"/>
      <c r="I304" s="249"/>
      <c r="J304" s="249"/>
      <c r="K304" s="589"/>
      <c r="L304" s="590"/>
      <c r="M304" s="590"/>
      <c r="N304" s="50" t="str">
        <f>IF(AND('331-CT'!$E$7=TH!H304,OR(L304="331",M304="331")),"331",IF(AND(OR(L304="131",M304="131"),H304='131-CT'!$E$7),"131",""))</f>
        <v/>
      </c>
      <c r="O304" s="50" t="str">
        <f>IF(AND($B304&gt;='111'!$N$11,$B304&lt;='111'!$O$11,OR($L304=$O$7,$M304=$O$7)),"x","")</f>
        <v/>
      </c>
      <c r="P304" s="50" t="str">
        <f>IF(AND($L304=$O$7,$B304&lt;'111'!$N$11),"x","")</f>
        <v/>
      </c>
      <c r="Q304" s="50" t="str">
        <f>IF(AND($M304=$O$7,$B304&lt;'111'!$N$11),"x","")</f>
        <v/>
      </c>
      <c r="R304" s="50" t="str">
        <f>IF(ISERROR(FIND('112'!$M$9,G304,1)),"",IF((AND(FIND('112'!$M$9,G304,1)&gt;=1,$B304&gt;='112'!$N$8,$B304&lt;='112'!$O$8,OR($L304='112'!$I$6,$M304='112'!$I$6))),"x",""))</f>
        <v/>
      </c>
      <c r="S304" s="50" t="str">
        <f>IF(ISERROR(FIND('112'!$M$9,G304,1)),"",IF((AND(LEFT(G304,2)=LEFT('112'!$M$9,2),B304&lt;'112'!$N$8,$L304='112'!$I$6)),"x",""))</f>
        <v/>
      </c>
      <c r="T304" s="50" t="str">
        <f>IF(ISERROR(FIND('112'!$M$9,G304,1)),"",IF((AND(RIGHT(G304,2)=RIGHT('112'!$M$9,2),B304&lt;'112'!$N$8,$M304='112'!$I$6)),"x",""))</f>
        <v/>
      </c>
      <c r="U304" s="50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0" t="str">
        <f>IF(OR(TH!L304=TH!$V$7,M304=TH!$V$7),"x","")</f>
        <v/>
      </c>
      <c r="W304" s="50" t="str">
        <f>IF(AND(B304&gt;='IN-NX'!$P$3,B304&lt;='IN-NX'!$Q$3,'IN-NX'!$D$7=D304,OR(LEFT(L304,2)="15",AND(LEFT(M304,2)&lt;&gt;"15",LEFT(M304,2)&lt;&gt;"33"))),"x","")</f>
        <v/>
      </c>
      <c r="X304" s="50" t="str">
        <f>IF(AND(OR(LEFT(TH!L304,2)="15",LEFT(TH!M304,2)="15"),'152-CT'!$J$8=TH!F304),"x","")</f>
        <v/>
      </c>
      <c r="Y304" s="50" t="str">
        <f>IF(AND(OR(LEFT(TH!L304,2)="15",LEFT(TH!M304,2)="15"),TK!$E$7=TH!F304),"x","")</f>
        <v/>
      </c>
      <c r="Z304" s="50" t="str">
        <f>IF(AND(B304&lt;=NKC!$N$8,B304&gt;=NKC!$M$8),"x","")</f>
        <v/>
      </c>
      <c r="AA304" s="845"/>
      <c r="AB304" s="581"/>
      <c r="AD304" s="581"/>
    </row>
    <row r="305" spans="1:30" s="201" customFormat="1" ht="15.75" customHeight="1">
      <c r="A305" s="846" t="str">
        <f>IF(B305&lt;&gt;"",IF(AND(B305&gt;=_TM1,B305&lt;=_TM2,OR(TH!L305="1111",TH!M305="1111")),TH!D305,""),"")</f>
        <v/>
      </c>
      <c r="B305" s="36" t="str">
        <f t="shared" si="7"/>
        <v/>
      </c>
      <c r="C305" s="187"/>
      <c r="D305" s="187"/>
      <c r="E305" s="187"/>
      <c r="F305" s="188"/>
      <c r="G305" s="854"/>
      <c r="H305" s="189"/>
      <c r="I305" s="249"/>
      <c r="J305" s="802"/>
      <c r="K305" s="589"/>
      <c r="L305" s="590"/>
      <c r="M305" s="590"/>
      <c r="N305" s="50" t="str">
        <f>IF(AND('331-CT'!$E$7=TH!H305,OR(L305="331",M305="331")),"331",IF(AND(OR(L305="131",M305="131"),H305='131-CT'!$E$7),"131",""))</f>
        <v/>
      </c>
      <c r="O305" s="50" t="str">
        <f>IF(AND($B305&gt;='111'!$N$11,$B305&lt;='111'!$O$11,OR($L305=$O$7,$M305=$O$7)),"x","")</f>
        <v/>
      </c>
      <c r="P305" s="50" t="str">
        <f>IF(AND($L305=$O$7,$B305&lt;'111'!$N$11),"x","")</f>
        <v/>
      </c>
      <c r="Q305" s="50" t="str">
        <f>IF(AND($M305=$O$7,$B305&lt;'111'!$N$11),"x","")</f>
        <v/>
      </c>
      <c r="R305" s="50" t="str">
        <f>IF(ISERROR(FIND('112'!$M$9,G305,1)),"",IF((AND(FIND('112'!$M$9,G305,1)&gt;=1,$B305&gt;='112'!$N$8,$B305&lt;='112'!$O$8,OR($L305='112'!$I$6,$M305='112'!$I$6))),"x",""))</f>
        <v/>
      </c>
      <c r="S305" s="50" t="str">
        <f>IF(ISERROR(FIND('112'!$M$9,G305,1)),"",IF((AND(LEFT(G305,2)=LEFT('112'!$M$9,2),B305&lt;'112'!$N$8,$L305='112'!$I$6)),"x",""))</f>
        <v/>
      </c>
      <c r="T305" s="50" t="str">
        <f>IF(ISERROR(FIND('112'!$M$9,G305,1)),"",IF((AND(RIGHT(G305,2)=RIGHT('112'!$M$9,2),B305&lt;'112'!$N$8,$M305='112'!$I$6)),"x",""))</f>
        <v/>
      </c>
      <c r="U305" s="50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0" t="str">
        <f>IF(OR(TH!L305=TH!$V$7,M305=TH!$V$7),"x","")</f>
        <v/>
      </c>
      <c r="W305" s="50" t="str">
        <f>IF(AND(B305&gt;='IN-NX'!$P$3,B305&lt;='IN-NX'!$Q$3,'IN-NX'!$D$7=D305,OR(LEFT(L305,2)="15",AND(LEFT(M305,2)&lt;&gt;"15",LEFT(M305,2)&lt;&gt;"33"))),"x","")</f>
        <v/>
      </c>
      <c r="X305" s="50" t="str">
        <f>IF(AND(OR(LEFT(TH!L305,2)="15",LEFT(TH!M305,2)="15"),'152-CT'!$J$8=TH!F305),"x","")</f>
        <v/>
      </c>
      <c r="Y305" s="50" t="str">
        <f>IF(AND(OR(LEFT(TH!L305,2)="15",LEFT(TH!M305,2)="15"),TK!$E$7=TH!F305),"x","")</f>
        <v/>
      </c>
      <c r="Z305" s="50" t="str">
        <f>IF(AND(B305&lt;=NKC!$N$8,B305&gt;=NKC!$M$8),"x","")</f>
        <v/>
      </c>
      <c r="AA305" s="845"/>
      <c r="AB305" s="581"/>
      <c r="AC305" s="581"/>
      <c r="AD305" s="581"/>
    </row>
    <row r="306" spans="1:30" s="201" customFormat="1" ht="15.75" customHeight="1">
      <c r="A306" s="846" t="str">
        <f>IF(B306&lt;&gt;"",IF(AND(B306&gt;=_TM1,B306&lt;=_TM2,OR(TH!L306="1111",TH!M306="1111")),TH!D306,""),"")</f>
        <v/>
      </c>
      <c r="B306" s="36" t="str">
        <f t="shared" ref="B306:B307" si="8">IF(C306&lt;&gt;"",MONTH(C306),"")</f>
        <v/>
      </c>
      <c r="C306" s="187"/>
      <c r="D306" s="187"/>
      <c r="E306" s="187"/>
      <c r="F306" s="188"/>
      <c r="G306" s="854"/>
      <c r="H306" s="189"/>
      <c r="I306" s="249"/>
      <c r="J306" s="802"/>
      <c r="K306" s="589"/>
      <c r="L306" s="590"/>
      <c r="M306" s="590"/>
      <c r="N306" s="50" t="str">
        <f>IF(AND('331-CT'!$E$7=TH!H306,OR(L306="331",M306="331")),"331",IF(AND(OR(L306="131",M306="131"),H306='131-CT'!$E$7),"131",""))</f>
        <v/>
      </c>
      <c r="O306" s="50" t="str">
        <f>IF(AND($B306&gt;='111'!$N$11,$B306&lt;='111'!$O$11,OR($L306=$O$7,$M306=$O$7)),"x","")</f>
        <v/>
      </c>
      <c r="P306" s="50" t="str">
        <f>IF(AND($L306=$O$7,$B306&lt;'111'!$N$11),"x","")</f>
        <v/>
      </c>
      <c r="Q306" s="50" t="str">
        <f>IF(AND($M306=$O$7,$B306&lt;'111'!$N$11),"x","")</f>
        <v/>
      </c>
      <c r="R306" s="50" t="str">
        <f>IF(ISERROR(FIND('112'!$M$9,G306,1)),"",IF((AND(FIND('112'!$M$9,G306,1)&gt;=1,$B306&gt;='112'!$N$8,$B306&lt;='112'!$O$8,OR($L306='112'!$I$6,$M306='112'!$I$6))),"x",""))</f>
        <v/>
      </c>
      <c r="S306" s="50" t="str">
        <f>IF(ISERROR(FIND('112'!$M$9,G306,1)),"",IF((AND(LEFT(G306,2)=LEFT('112'!$M$9,2),B306&lt;'112'!$N$8,$L306='112'!$I$6)),"x",""))</f>
        <v/>
      </c>
      <c r="T306" s="50" t="str">
        <f>IF(ISERROR(FIND('112'!$M$9,G306,1)),"",IF((AND(RIGHT(G306,2)=RIGHT('112'!$M$9,2),B306&lt;'112'!$N$8,$M306='112'!$I$6)),"x",""))</f>
        <v/>
      </c>
      <c r="U306" s="50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0" t="str">
        <f>IF(OR(TH!L306=TH!$V$7,M306=TH!$V$7),"x","")</f>
        <v/>
      </c>
      <c r="W306" s="50" t="str">
        <f>IF(AND(B306&gt;='IN-NX'!$P$3,B306&lt;='IN-NX'!$Q$3,'IN-NX'!$D$7=D306,OR(LEFT(L306,2)="15",AND(LEFT(M306,2)&lt;&gt;"15",LEFT(M306,2)&lt;&gt;"33"))),"x","")</f>
        <v/>
      </c>
      <c r="X306" s="50" t="str">
        <f>IF(AND(OR(LEFT(TH!L306,2)="15",LEFT(TH!M306,2)="15"),'152-CT'!$J$8=TH!F306),"x","")</f>
        <v/>
      </c>
      <c r="Y306" s="50" t="str">
        <f>IF(AND(OR(LEFT(TH!L306,2)="15",LEFT(TH!M306,2)="15"),TK!$E$7=TH!F306),"x","")</f>
        <v/>
      </c>
      <c r="Z306" s="50" t="str">
        <f>IF(AND(B306&lt;=NKC!$N$8,B306&gt;=NKC!$M$8),"x","")</f>
        <v/>
      </c>
      <c r="AA306" s="845"/>
      <c r="AB306" s="581"/>
      <c r="AC306" s="581"/>
      <c r="AD306" s="581"/>
    </row>
    <row r="307" spans="1:30" s="201" customFormat="1" ht="15.75" customHeight="1">
      <c r="A307" s="846" t="str">
        <f>IF(B307&lt;&gt;"",IF(AND(B307&gt;=_TM1,B307&lt;=_TM2,OR(TH!L307="1111",TH!M307="1111")),TH!D307,""),"")</f>
        <v/>
      </c>
      <c r="B307" s="36" t="str">
        <f t="shared" si="8"/>
        <v/>
      </c>
      <c r="C307" s="187"/>
      <c r="D307" s="187"/>
      <c r="E307" s="187"/>
      <c r="F307" s="810"/>
      <c r="G307" s="854"/>
      <c r="H307" s="189"/>
      <c r="I307" s="249"/>
      <c r="J307" s="802"/>
      <c r="K307" s="589"/>
      <c r="L307" s="590"/>
      <c r="M307" s="590"/>
      <c r="N307" s="50" t="str">
        <f>IF(AND('331-CT'!$E$7=TH!H307,OR(L307="331",M307="331")),"331",IF(AND(OR(L307="131",M307="131"),H307='131-CT'!$E$7),"131",""))</f>
        <v/>
      </c>
      <c r="O307" s="50" t="str">
        <f>IF(AND($B307&gt;='111'!$N$11,$B307&lt;='111'!$O$11,OR($L307=$O$7,$M307=$O$7)),"x","")</f>
        <v/>
      </c>
      <c r="P307" s="50" t="str">
        <f>IF(AND($L307=$O$7,$B307&lt;'111'!$N$11),"x","")</f>
        <v/>
      </c>
      <c r="Q307" s="50" t="str">
        <f>IF(AND($M307=$O$7,$B307&lt;'111'!$N$11),"x","")</f>
        <v/>
      </c>
      <c r="R307" s="50" t="str">
        <f>IF(ISERROR(FIND('112'!$M$9,G307,1)),"",IF((AND(FIND('112'!$M$9,G307,1)&gt;=1,$B307&gt;='112'!$N$8,$B307&lt;='112'!$O$8,OR($L307='112'!$I$6,$M307='112'!$I$6))),"x",""))</f>
        <v/>
      </c>
      <c r="S307" s="50" t="str">
        <f>IF(ISERROR(FIND('112'!$M$9,G307,1)),"",IF((AND(LEFT(G307,2)=LEFT('112'!$M$9,2),B307&lt;'112'!$N$8,$L307='112'!$I$6)),"x",""))</f>
        <v/>
      </c>
      <c r="T307" s="50" t="str">
        <f>IF(ISERROR(FIND('112'!$M$9,G307,1)),"",IF((AND(RIGHT(G307,2)=RIGHT('112'!$M$9,2),B307&lt;'112'!$N$8,$M307='112'!$I$6)),"x",""))</f>
        <v/>
      </c>
      <c r="U307" s="50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0" t="str">
        <f>IF(OR(TH!L307=TH!$V$7,M307=TH!$V$7),"x","")</f>
        <v/>
      </c>
      <c r="W307" s="50" t="str">
        <f>IF(AND(B307&gt;='IN-NX'!$P$3,B307&lt;='IN-NX'!$Q$3,'IN-NX'!$D$7=D307,OR(LEFT(L307,2)="15",AND(LEFT(M307,2)&lt;&gt;"15",LEFT(M307,2)&lt;&gt;"33"))),"x","")</f>
        <v/>
      </c>
      <c r="X307" s="50" t="str">
        <f>IF(AND(OR(LEFT(TH!L307,2)="15",LEFT(TH!M307,2)="15"),'152-CT'!$J$8=TH!F307),"x","")</f>
        <v/>
      </c>
      <c r="Y307" s="50" t="str">
        <f>IF(AND(OR(LEFT(TH!L307,2)="15",LEFT(TH!M307,2)="15"),TK!$E$7=TH!F307),"x","")</f>
        <v/>
      </c>
      <c r="Z307" s="50" t="str">
        <f>IF(AND(B307&lt;=NKC!$N$8,B307&gt;=NKC!$M$8),"x","")</f>
        <v/>
      </c>
      <c r="AA307" s="845"/>
      <c r="AB307" s="581"/>
      <c r="AC307" s="581"/>
      <c r="AD307" s="581"/>
    </row>
    <row r="308" spans="1:30" s="201" customFormat="1" ht="15.75" customHeight="1">
      <c r="A308" s="846" t="str">
        <f>IF(B308&lt;&gt;"",IF(AND(B308&gt;=_TM1,B308&lt;=_TM2,OR(TH!L308="1111",TH!M308="1111")),TH!D308,""),"")</f>
        <v/>
      </c>
      <c r="B308" s="36" t="str">
        <f t="shared" ref="B308:B311" si="9">IF(C308&lt;&gt;"",MONTH(C308),"")</f>
        <v/>
      </c>
      <c r="C308" s="187"/>
      <c r="D308" s="187"/>
      <c r="E308" s="187"/>
      <c r="F308" s="188"/>
      <c r="G308" s="854"/>
      <c r="H308" s="189"/>
      <c r="I308" s="249"/>
      <c r="J308" s="802"/>
      <c r="K308" s="589"/>
      <c r="L308" s="590"/>
      <c r="M308" s="590"/>
      <c r="N308" s="50" t="str">
        <f>IF(AND('331-CT'!$E$7=TH!H308,OR(L308="331",M308="331")),"331",IF(AND(OR(L308="131",M308="131"),H308='131-CT'!$E$7),"131",""))</f>
        <v/>
      </c>
      <c r="O308" s="50" t="str">
        <f>IF(AND($B308&gt;='111'!$N$11,$B308&lt;='111'!$O$11,OR($L308=$O$7,$M308=$O$7)),"x","")</f>
        <v/>
      </c>
      <c r="P308" s="50" t="str">
        <f>IF(AND($L308=$O$7,$B308&lt;'111'!$N$11),"x","")</f>
        <v/>
      </c>
      <c r="Q308" s="50" t="str">
        <f>IF(AND($M308=$O$7,$B308&lt;'111'!$N$11),"x","")</f>
        <v/>
      </c>
      <c r="R308" s="50" t="str">
        <f>IF(ISERROR(FIND('112'!$M$9,G308,1)),"",IF((AND(FIND('112'!$M$9,G308,1)&gt;=1,$B308&gt;='112'!$N$8,$B308&lt;='112'!$O$8,OR($L308='112'!$I$6,$M308='112'!$I$6))),"x",""))</f>
        <v/>
      </c>
      <c r="S308" s="50" t="str">
        <f>IF(ISERROR(FIND('112'!$M$9,G308,1)),"",IF((AND(LEFT(G308,2)=LEFT('112'!$M$9,2),B308&lt;'112'!$N$8,$L308='112'!$I$6)),"x",""))</f>
        <v/>
      </c>
      <c r="T308" s="50" t="str">
        <f>IF(ISERROR(FIND('112'!$M$9,G308,1)),"",IF((AND(RIGHT(G308,2)=RIGHT('112'!$M$9,2),B308&lt;'112'!$N$8,$M308='112'!$I$6)),"x",""))</f>
        <v/>
      </c>
      <c r="U308" s="50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0" t="str">
        <f>IF(OR(TH!L308=TH!$V$7,M308=TH!$V$7),"x","")</f>
        <v/>
      </c>
      <c r="W308" s="50" t="str">
        <f>IF(AND(B308&gt;='IN-NX'!$P$3,B308&lt;='IN-NX'!$Q$3,'IN-NX'!$D$7=D308,OR(LEFT(L308,2)="15",AND(LEFT(M308,2)&lt;&gt;"15",LEFT(M308,2)&lt;&gt;"33"))),"x","")</f>
        <v/>
      </c>
      <c r="X308" s="50" t="str">
        <f>IF(AND(OR(LEFT(TH!L308,2)="15",LEFT(TH!M308,2)="15"),'152-CT'!$J$8=TH!F308),"x","")</f>
        <v/>
      </c>
      <c r="Y308" s="50" t="str">
        <f>IF(AND(OR(LEFT(TH!L308,2)="15",LEFT(TH!M308,2)="15"),TK!$E$7=TH!F308),"x","")</f>
        <v/>
      </c>
      <c r="Z308" s="50" t="str">
        <f>IF(AND(B308&lt;=NKC!$N$8,B308&gt;=NKC!$M$8),"x","")</f>
        <v/>
      </c>
      <c r="AA308" s="845"/>
      <c r="AB308" s="581"/>
      <c r="AC308" s="581"/>
      <c r="AD308" s="581"/>
    </row>
    <row r="309" spans="1:30" s="201" customFormat="1" ht="15.75" customHeight="1">
      <c r="A309" s="846" t="str">
        <f>IF(B309&lt;&gt;"",IF(AND(B309&gt;=_TM1,B309&lt;=_TM2,OR(TH!L309="1111",TH!M309="1111")),TH!D309,""),"")</f>
        <v/>
      </c>
      <c r="B309" s="36" t="str">
        <f t="shared" si="9"/>
        <v/>
      </c>
      <c r="C309" s="187"/>
      <c r="D309" s="187"/>
      <c r="E309" s="187"/>
      <c r="F309" s="188"/>
      <c r="G309" s="854"/>
      <c r="H309" s="189"/>
      <c r="I309" s="249"/>
      <c r="J309" s="802"/>
      <c r="K309" s="589"/>
      <c r="L309" s="590"/>
      <c r="M309" s="590"/>
      <c r="N309" s="50" t="str">
        <f>IF(AND('331-CT'!$E$7=TH!H309,OR(L309="331",M309="331")),"331",IF(AND(OR(L309="131",M309="131"),H309='131-CT'!$E$7),"131",""))</f>
        <v/>
      </c>
      <c r="O309" s="50" t="str">
        <f>IF(AND($B309&gt;='111'!$N$11,$B309&lt;='111'!$O$11,OR($L309=$O$7,$M309=$O$7)),"x","")</f>
        <v/>
      </c>
      <c r="P309" s="50" t="str">
        <f>IF(AND($L309=$O$7,$B309&lt;'111'!$N$11),"x","")</f>
        <v/>
      </c>
      <c r="Q309" s="50" t="str">
        <f>IF(AND($M309=$O$7,$B309&lt;'111'!$N$11),"x","")</f>
        <v/>
      </c>
      <c r="R309" s="50" t="str">
        <f>IF(ISERROR(FIND('112'!$M$9,G309,1)),"",IF((AND(FIND('112'!$M$9,G309,1)&gt;=1,$B309&gt;='112'!$N$8,$B309&lt;='112'!$O$8,OR($L309='112'!$I$6,$M309='112'!$I$6))),"x",""))</f>
        <v/>
      </c>
      <c r="S309" s="50" t="str">
        <f>IF(ISERROR(FIND('112'!$M$9,G309,1)),"",IF((AND(LEFT(G309,2)=LEFT('112'!$M$9,2),B309&lt;'112'!$N$8,$L309='112'!$I$6)),"x",""))</f>
        <v/>
      </c>
      <c r="T309" s="50" t="str">
        <f>IF(ISERROR(FIND('112'!$M$9,G309,1)),"",IF((AND(RIGHT(G309,2)=RIGHT('112'!$M$9,2),B309&lt;'112'!$N$8,$M309='112'!$I$6)),"x",""))</f>
        <v/>
      </c>
      <c r="U309" s="50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0" t="str">
        <f>IF(OR(TH!L309=TH!$V$7,M309=TH!$V$7),"x","")</f>
        <v/>
      </c>
      <c r="W309" s="50" t="str">
        <f>IF(AND(B309&gt;='IN-NX'!$P$3,B309&lt;='IN-NX'!$Q$3,'IN-NX'!$D$7=D309,OR(LEFT(L309,2)="15",AND(LEFT(M309,2)&lt;&gt;"15",LEFT(M309,2)&lt;&gt;"33"))),"x","")</f>
        <v/>
      </c>
      <c r="X309" s="50" t="str">
        <f>IF(AND(OR(LEFT(TH!L309,2)="15",LEFT(TH!M309,2)="15"),'152-CT'!$J$8=TH!F309),"x","")</f>
        <v/>
      </c>
      <c r="Y309" s="50" t="str">
        <f>IF(AND(OR(LEFT(TH!L309,2)="15",LEFT(TH!M309,2)="15"),TK!$E$7=TH!F309),"x","")</f>
        <v/>
      </c>
      <c r="Z309" s="50" t="str">
        <f>IF(AND(B309&lt;=NKC!$N$8,B309&gt;=NKC!$M$8),"x","")</f>
        <v/>
      </c>
      <c r="AA309" s="845"/>
      <c r="AB309" s="581"/>
      <c r="AC309" s="581"/>
      <c r="AD309" s="581"/>
    </row>
    <row r="310" spans="1:30" s="201" customFormat="1" ht="15.75" customHeight="1">
      <c r="A310" s="846" t="str">
        <f>IF(B310&lt;&gt;"",IF(AND(B310&gt;=_TM1,B310&lt;=_TM2,OR(TH!L310="1111",TH!M310="1111")),TH!D310,""),"")</f>
        <v/>
      </c>
      <c r="B310" s="36" t="str">
        <f t="shared" si="9"/>
        <v/>
      </c>
      <c r="C310" s="187"/>
      <c r="D310" s="187"/>
      <c r="E310" s="187"/>
      <c r="F310" s="185"/>
      <c r="G310" s="854"/>
      <c r="H310" s="189"/>
      <c r="I310" s="249"/>
      <c r="J310" s="802"/>
      <c r="K310" s="589"/>
      <c r="L310" s="590"/>
      <c r="M310" s="590"/>
      <c r="N310" s="50" t="str">
        <f>IF(AND('331-CT'!$E$7=TH!H310,OR(L310="331",M310="331")),"331",IF(AND(OR(L310="131",M310="131"),H310='131-CT'!$E$7),"131",""))</f>
        <v/>
      </c>
      <c r="O310" s="50" t="str">
        <f>IF(AND($B310&gt;='111'!$N$11,$B310&lt;='111'!$O$11,OR($L310=$O$7,$M310=$O$7)),"x","")</f>
        <v/>
      </c>
      <c r="P310" s="50" t="str">
        <f>IF(AND($L310=$O$7,$B310&lt;'111'!$N$11),"x","")</f>
        <v/>
      </c>
      <c r="Q310" s="50" t="str">
        <f>IF(AND($M310=$O$7,$B310&lt;'111'!$N$11),"x","")</f>
        <v/>
      </c>
      <c r="R310" s="50" t="str">
        <f>IF(ISERROR(FIND('112'!$M$9,G310,1)),"",IF((AND(FIND('112'!$M$9,G310,1)&gt;=1,$B310&gt;='112'!$N$8,$B310&lt;='112'!$O$8,OR($L310='112'!$I$6,$M310='112'!$I$6))),"x",""))</f>
        <v/>
      </c>
      <c r="S310" s="50" t="str">
        <f>IF(ISERROR(FIND('112'!$M$9,G310,1)),"",IF((AND(LEFT(G310,2)=LEFT('112'!$M$9,2),B310&lt;'112'!$N$8,$L310='112'!$I$6)),"x",""))</f>
        <v/>
      </c>
      <c r="T310" s="50" t="str">
        <f>IF(ISERROR(FIND('112'!$M$9,G310,1)),"",IF((AND(RIGHT(G310,2)=RIGHT('112'!$M$9,2),B310&lt;'112'!$N$8,$M310='112'!$I$6)),"x",""))</f>
        <v/>
      </c>
      <c r="U310" s="50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0" t="str">
        <f>IF(OR(TH!L310=TH!$V$7,M310=TH!$V$7),"x","")</f>
        <v/>
      </c>
      <c r="W310" s="50" t="str">
        <f>IF(AND(B310&gt;='IN-NX'!$P$3,B310&lt;='IN-NX'!$Q$3,'IN-NX'!$D$7=D310,OR(LEFT(L310,2)="15",AND(LEFT(M310,2)&lt;&gt;"15",LEFT(M310,2)&lt;&gt;"33"))),"x","")</f>
        <v/>
      </c>
      <c r="X310" s="50" t="str">
        <f>IF(AND(OR(LEFT(TH!L310,2)="15",LEFT(TH!M310,2)="15"),'152-CT'!$J$8=TH!F310),"x","")</f>
        <v/>
      </c>
      <c r="Y310" s="50" t="str">
        <f>IF(AND(OR(LEFT(TH!L310,2)="15",LEFT(TH!M310,2)="15"),TK!$E$7=TH!F310),"x","")</f>
        <v/>
      </c>
      <c r="Z310" s="50" t="str">
        <f>IF(AND(B310&lt;=NKC!$N$8,B310&gt;=NKC!$M$8),"x","")</f>
        <v/>
      </c>
      <c r="AA310" s="845"/>
      <c r="AB310" s="581"/>
      <c r="AC310" s="581"/>
      <c r="AD310" s="581"/>
    </row>
    <row r="311" spans="1:30" s="201" customFormat="1" ht="15.75" customHeight="1">
      <c r="A311" s="846" t="str">
        <f>IF(B311&lt;&gt;"",IF(AND(B311&gt;=_TM1,B311&lt;=_TM2,OR(TH!L311="1111",TH!M311="1111")),TH!D311,""),"")</f>
        <v/>
      </c>
      <c r="B311" s="36" t="str">
        <f t="shared" si="9"/>
        <v/>
      </c>
      <c r="C311" s="187"/>
      <c r="D311" s="187"/>
      <c r="E311" s="187"/>
      <c r="F311" s="185"/>
      <c r="G311" s="854"/>
      <c r="H311" s="189"/>
      <c r="I311" s="249"/>
      <c r="J311" s="802"/>
      <c r="K311" s="589"/>
      <c r="L311" s="590"/>
      <c r="M311" s="590"/>
      <c r="N311" s="50" t="str">
        <f>IF(AND('331-CT'!$E$7=TH!H311,OR(L311="331",M311="331")),"331",IF(AND(OR(L311="131",M311="131"),H311='131-CT'!$E$7),"131",""))</f>
        <v/>
      </c>
      <c r="O311" s="50" t="str">
        <f>IF(AND($B311&gt;='111'!$N$11,$B311&lt;='111'!$O$11,OR($L311=$O$7,$M311=$O$7)),"x","")</f>
        <v/>
      </c>
      <c r="P311" s="50" t="str">
        <f>IF(AND($L311=$O$7,$B311&lt;'111'!$N$11),"x","")</f>
        <v/>
      </c>
      <c r="Q311" s="50" t="str">
        <f>IF(AND($M311=$O$7,$B311&lt;'111'!$N$11),"x","")</f>
        <v/>
      </c>
      <c r="R311" s="50" t="str">
        <f>IF(ISERROR(FIND('112'!$M$9,G311,1)),"",IF((AND(FIND('112'!$M$9,G311,1)&gt;=1,$B311&gt;='112'!$N$8,$B311&lt;='112'!$O$8,OR($L311='112'!$I$6,$M311='112'!$I$6))),"x",""))</f>
        <v/>
      </c>
      <c r="S311" s="50" t="str">
        <f>IF(ISERROR(FIND('112'!$M$9,G311,1)),"",IF((AND(LEFT(G311,2)=LEFT('112'!$M$9,2),B311&lt;'112'!$N$8,$L311='112'!$I$6)),"x",""))</f>
        <v/>
      </c>
      <c r="T311" s="50" t="str">
        <f>IF(ISERROR(FIND('112'!$M$9,G311,1)),"",IF((AND(RIGHT(G311,2)=RIGHT('112'!$M$9,2),B311&lt;'112'!$N$8,$M311='112'!$I$6)),"x",""))</f>
        <v/>
      </c>
      <c r="U311" s="50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0" t="str">
        <f>IF(OR(TH!L311=TH!$V$7,M311=TH!$V$7),"x","")</f>
        <v/>
      </c>
      <c r="W311" s="50" t="str">
        <f>IF(AND(B311&gt;='IN-NX'!$P$3,B311&lt;='IN-NX'!$Q$3,'IN-NX'!$D$7=D311,OR(LEFT(L311,2)="15",AND(LEFT(M311,2)&lt;&gt;"15",LEFT(M311,2)&lt;&gt;"33"))),"x","")</f>
        <v/>
      </c>
      <c r="X311" s="50" t="str">
        <f>IF(AND(OR(LEFT(TH!L311,2)="15",LEFT(TH!M311,2)="15"),'152-CT'!$J$8=TH!F311),"x","")</f>
        <v/>
      </c>
      <c r="Y311" s="50" t="str">
        <f>IF(AND(OR(LEFT(TH!L311,2)="15",LEFT(TH!M311,2)="15"),TK!$E$7=TH!F311),"x","")</f>
        <v/>
      </c>
      <c r="Z311" s="50" t="str">
        <f>IF(AND(B311&lt;=NKC!$N$8,B311&gt;=NKC!$M$8),"x","")</f>
        <v/>
      </c>
      <c r="AA311" s="845"/>
      <c r="AB311" s="581"/>
      <c r="AC311" s="581"/>
      <c r="AD311" s="581"/>
    </row>
    <row r="312" spans="1:30" s="201" customFormat="1" ht="15.75" customHeight="1">
      <c r="A312" s="846" t="str">
        <f>IF(B312&lt;&gt;"",IF(AND(B312&gt;=_TM1,B312&lt;=_TM2,OR(TH!L312="1111",TH!M312="1111")),TH!D312,""),"")</f>
        <v/>
      </c>
      <c r="B312" s="36" t="str">
        <f t="shared" si="7"/>
        <v/>
      </c>
      <c r="C312" s="187"/>
      <c r="D312" s="187"/>
      <c r="E312" s="187"/>
      <c r="F312" s="188"/>
      <c r="G312" s="854"/>
      <c r="H312" s="189"/>
      <c r="I312" s="249"/>
      <c r="J312" s="249"/>
      <c r="K312" s="589"/>
      <c r="L312" s="590"/>
      <c r="M312" s="590"/>
      <c r="N312" s="50" t="str">
        <f>IF(AND('331-CT'!$E$7=TH!H312,OR(L312="331",M312="331")),"331",IF(AND(OR(L312="131",M312="131"),H312='131-CT'!$E$7),"131",""))</f>
        <v/>
      </c>
      <c r="O312" s="50" t="str">
        <f>IF(AND($B312&gt;='111'!$N$11,$B312&lt;='111'!$O$11,OR($L312=$O$7,$M312=$O$7)),"x","")</f>
        <v/>
      </c>
      <c r="P312" s="50" t="str">
        <f>IF(AND($L312=$O$7,$B312&lt;'111'!$N$11),"x","")</f>
        <v/>
      </c>
      <c r="Q312" s="50" t="str">
        <f>IF(AND($M312=$O$7,$B312&lt;'111'!$N$11),"x","")</f>
        <v/>
      </c>
      <c r="R312" s="50" t="str">
        <f>IF(ISERROR(FIND('112'!$M$9,G312,1)),"",IF((AND(FIND('112'!$M$9,G312,1)&gt;=1,$B312&gt;='112'!$N$8,$B312&lt;='112'!$O$8,OR($L312='112'!$I$6,$M312='112'!$I$6))),"x",""))</f>
        <v/>
      </c>
      <c r="S312" s="50" t="str">
        <f>IF(ISERROR(FIND('112'!$M$9,G312,1)),"",IF((AND(LEFT(G312,2)=LEFT('112'!$M$9,2),B312&lt;'112'!$N$8,$L312='112'!$I$6)),"x",""))</f>
        <v/>
      </c>
      <c r="T312" s="50" t="str">
        <f>IF(ISERROR(FIND('112'!$M$9,G312,1)),"",IF((AND(RIGHT(G312,2)=RIGHT('112'!$M$9,2),B312&lt;'112'!$N$8,$M312='112'!$I$6)),"x",""))</f>
        <v/>
      </c>
      <c r="U312" s="50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0" t="str">
        <f>IF(OR(TH!L312=TH!$V$7,M312=TH!$V$7),"x","")</f>
        <v/>
      </c>
      <c r="W312" s="50" t="str">
        <f>IF(AND(B312&gt;='IN-NX'!$P$3,B312&lt;='IN-NX'!$Q$3,'IN-NX'!$D$7=D312,OR(LEFT(L312,2)="15",AND(LEFT(M312,2)&lt;&gt;"15",LEFT(M312,2)&lt;&gt;"33"))),"x","")</f>
        <v/>
      </c>
      <c r="X312" s="50" t="str">
        <f>IF(AND(OR(LEFT(TH!L312,2)="15",LEFT(TH!M312,2)="15"),'152-CT'!$J$8=TH!F312),"x","")</f>
        <v/>
      </c>
      <c r="Y312" s="50" t="str">
        <f>IF(AND(OR(LEFT(TH!L312,2)="15",LEFT(TH!M312,2)="15"),TK!$E$7=TH!F312),"x","")</f>
        <v/>
      </c>
      <c r="Z312" s="50" t="str">
        <f>IF(AND(B312&lt;=NKC!$N$8,B312&gt;=NKC!$M$8),"x","")</f>
        <v/>
      </c>
      <c r="AA312" s="845"/>
      <c r="AB312" s="581"/>
      <c r="AD312" s="581"/>
    </row>
    <row r="313" spans="1:30" s="201" customFormat="1" ht="15.75" customHeight="1">
      <c r="A313" s="846" t="str">
        <f>IF(B313&lt;&gt;"",IF(AND(B313&gt;=_TM1,B313&lt;=_TM2,OR(TH!L313="1111",TH!M313="1111")),TH!D313,""),"")</f>
        <v/>
      </c>
      <c r="B313" s="36" t="str">
        <f t="shared" ref="B313:B376" si="10">IF(C313&lt;&gt;"",MONTH(C313),"")</f>
        <v/>
      </c>
      <c r="C313" s="187"/>
      <c r="D313" s="187"/>
      <c r="E313" s="187"/>
      <c r="F313" s="185"/>
      <c r="G313" s="854"/>
      <c r="H313" s="189"/>
      <c r="I313" s="249"/>
      <c r="J313" s="249"/>
      <c r="K313" s="589"/>
      <c r="L313" s="590"/>
      <c r="M313" s="590"/>
      <c r="N313" s="38" t="str">
        <f>IF(AND('331-CT'!$E$7=TH!H313,OR(L313="331",M313="331")),"331",IF(AND(OR(L313="131",M313="131"),H313='131-CT'!$E$7),"131",""))</f>
        <v/>
      </c>
      <c r="O313" s="38" t="str">
        <f>IF(AND($B313&gt;='111'!$N$11,$B313&lt;='111'!$O$11,OR($L313=$O$7,$M313=$O$7)),"x","")</f>
        <v/>
      </c>
      <c r="P313" s="38" t="str">
        <f>IF(AND($L313=$O$7,$B313&lt;'111'!$N$11),"x","")</f>
        <v/>
      </c>
      <c r="Q313" s="38" t="str">
        <f>IF(AND($M313=$O$7,$B313&lt;'111'!$N$11),"x","")</f>
        <v/>
      </c>
      <c r="R313" s="38" t="str">
        <f>IF(ISERROR(FIND('112'!$M$9,G313,1)),"",IF((AND(FIND('112'!$M$9,G313,1)&gt;=1,$B313&gt;='112'!$N$8,$B313&lt;='112'!$O$8,OR($L313='112'!$I$6,$M313='112'!$I$6))),"x",""))</f>
        <v/>
      </c>
      <c r="S313" s="38" t="str">
        <f>IF(ISERROR(FIND('112'!$M$9,G313,1)),"",IF((AND(LEFT(G313,2)=LEFT('112'!$M$9,2),B313&lt;'112'!$N$8,$L313='112'!$I$6)),"x",""))</f>
        <v/>
      </c>
      <c r="T313" s="38" t="str">
        <f>IF(ISERROR(FIND('112'!$M$9,G313,1)),"",IF((AND(RIGHT(G313,2)=RIGHT('112'!$M$9,2),B313&lt;'112'!$N$8,$M313='112'!$I$6)),"x",""))</f>
        <v/>
      </c>
      <c r="U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38" t="str">
        <f>IF(OR(TH!L313=TH!$V$7,M313=TH!$V$7),"x","")</f>
        <v/>
      </c>
      <c r="W313" s="38" t="str">
        <f>IF(AND(B313&gt;='IN-NX'!$P$3,B313&lt;='IN-NX'!$Q$3,'IN-NX'!$D$7=D313,OR(LEFT(L313,2)="15",AND(LEFT(M313,2)&lt;&gt;"15",LEFT(M313,2)&lt;&gt;"33"))),"x","")</f>
        <v/>
      </c>
      <c r="X313" s="38" t="str">
        <f>IF(AND(OR(LEFT(TH!L313,2)="15",LEFT(TH!M313,2)="15"),'152-CT'!$J$8=TH!F313),"x","")</f>
        <v/>
      </c>
      <c r="Y313" s="38" t="str">
        <f>IF(AND(OR(LEFT(TH!L313,2)="15",LEFT(TH!M313,2)="15"),TK!$E$7=TH!F313),"x","")</f>
        <v/>
      </c>
      <c r="Z313" s="38" t="str">
        <f>IF(AND(B313&lt;=NKC!$N$8,B313&gt;=NKC!$M$8),"x","")</f>
        <v/>
      </c>
      <c r="AA313" s="845"/>
      <c r="AB313" s="581"/>
    </row>
    <row r="314" spans="1:30" s="201" customFormat="1" ht="15.75" customHeight="1">
      <c r="A314" s="846" t="str">
        <f>IF(B314&lt;&gt;"",IF(AND(B314&gt;=_TM1,B314&lt;=_TM2,OR(TH!L314="1111",TH!M314="1111")),TH!D314,""),"")</f>
        <v/>
      </c>
      <c r="B314" s="36" t="str">
        <f t="shared" si="10"/>
        <v/>
      </c>
      <c r="C314" s="187"/>
      <c r="D314" s="187"/>
      <c r="E314" s="187"/>
      <c r="F314" s="185"/>
      <c r="G314" s="854"/>
      <c r="H314" s="189"/>
      <c r="I314" s="794"/>
      <c r="J314" s="249"/>
      <c r="K314" s="589"/>
      <c r="L314" s="590"/>
      <c r="M314" s="590"/>
      <c r="N314" s="38" t="str">
        <f>IF(AND('331-CT'!$E$7=TH!H314,OR(L314="331",M314="331")),"331",IF(AND(OR(L314="131",M314="131"),H314='131-CT'!$E$7),"131",""))</f>
        <v/>
      </c>
      <c r="O314" s="38" t="str">
        <f>IF(AND($B314&gt;='111'!$N$11,$B314&lt;='111'!$O$11,OR($L314=$O$7,$M314=$O$7)),"x","")</f>
        <v/>
      </c>
      <c r="P314" s="38" t="str">
        <f>IF(AND($L314=$O$7,$B314&lt;'111'!$N$11),"x","")</f>
        <v/>
      </c>
      <c r="Q314" s="38" t="str">
        <f>IF(AND($M314=$O$7,$B314&lt;'111'!$N$11),"x","")</f>
        <v/>
      </c>
      <c r="R314" s="38" t="str">
        <f>IF(ISERROR(FIND('112'!$M$9,G314,1)),"",IF((AND(FIND('112'!$M$9,G314,1)&gt;=1,$B314&gt;='112'!$N$8,$B314&lt;='112'!$O$8,OR($L314='112'!$I$6,$M314='112'!$I$6))),"x",""))</f>
        <v/>
      </c>
      <c r="S314" s="38" t="str">
        <f>IF(ISERROR(FIND('112'!$M$9,G314,1)),"",IF((AND(LEFT(G314,2)=LEFT('112'!$M$9,2),B314&lt;'112'!$N$8,$L314='112'!$I$6)),"x",""))</f>
        <v/>
      </c>
      <c r="T314" s="38" t="str">
        <f>IF(ISERROR(FIND('112'!$M$9,G314,1)),"",IF((AND(RIGHT(G314,2)=RIGHT('112'!$M$9,2),B314&lt;'112'!$N$8,$M314='112'!$I$6)),"x",""))</f>
        <v/>
      </c>
      <c r="U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38" t="str">
        <f>IF(OR(TH!L314=TH!$V$7,M314=TH!$V$7),"x","")</f>
        <v/>
      </c>
      <c r="W314" s="38" t="str">
        <f>IF(AND(B314&gt;='IN-NX'!$P$3,B314&lt;='IN-NX'!$Q$3,'IN-NX'!$D$7=D314,OR(LEFT(L314,2)="15",AND(LEFT(M314,2)&lt;&gt;"15",LEFT(M314,2)&lt;&gt;"33"))),"x","")</f>
        <v/>
      </c>
      <c r="X314" s="38" t="str">
        <f>IF(AND(OR(LEFT(TH!L314,2)="15",LEFT(TH!M314,2)="15"),'152-CT'!$J$8=TH!F314),"x","")</f>
        <v/>
      </c>
      <c r="Y314" s="38" t="str">
        <f>IF(AND(OR(LEFT(TH!L314,2)="15",LEFT(TH!M314,2)="15"),TK!$E$7=TH!F314),"x","")</f>
        <v/>
      </c>
      <c r="Z314" s="38" t="str">
        <f>IF(AND(B314&lt;=NKC!$N$8,B314&gt;=NKC!$M$8),"x","")</f>
        <v/>
      </c>
      <c r="AA314" s="845"/>
      <c r="AB314" s="581"/>
    </row>
    <row r="315" spans="1:30" s="201" customFormat="1" ht="15.75" customHeight="1">
      <c r="A315" s="846" t="str">
        <f>IF(B315&lt;&gt;"",IF(AND(B315&gt;=_TM1,B315&lt;=_TM2,OR(TH!L315="1111",TH!M315="1111")),TH!D315,""),"")</f>
        <v/>
      </c>
      <c r="B315" s="36" t="str">
        <f t="shared" si="10"/>
        <v/>
      </c>
      <c r="C315" s="187"/>
      <c r="D315" s="187"/>
      <c r="E315" s="187"/>
      <c r="F315" s="185"/>
      <c r="G315" s="854"/>
      <c r="H315" s="189"/>
      <c r="I315" s="794"/>
      <c r="J315" s="249"/>
      <c r="K315" s="589"/>
      <c r="L315" s="590"/>
      <c r="M315" s="590"/>
      <c r="N315" s="38" t="str">
        <f>IF(AND('331-CT'!$E$7=TH!H315,OR(L315="331",M315="331")),"331",IF(AND(OR(L315="131",M315="131"),H315='131-CT'!$E$7),"131",""))</f>
        <v/>
      </c>
      <c r="O315" s="38" t="str">
        <f>IF(AND($B315&gt;='111'!$N$11,$B315&lt;='111'!$O$11,OR($L315=$O$7,$M315=$O$7)),"x","")</f>
        <v/>
      </c>
      <c r="P315" s="38" t="str">
        <f>IF(AND($L315=$O$7,$B315&lt;'111'!$N$11),"x","")</f>
        <v/>
      </c>
      <c r="Q315" s="38" t="str">
        <f>IF(AND($M315=$O$7,$B315&lt;'111'!$N$11),"x","")</f>
        <v/>
      </c>
      <c r="R315" s="38" t="str">
        <f>IF(ISERROR(FIND('112'!$M$9,G315,1)),"",IF((AND(FIND('112'!$M$9,G315,1)&gt;=1,$B315&gt;='112'!$N$8,$B315&lt;='112'!$O$8,OR($L315='112'!$I$6,$M315='112'!$I$6))),"x",""))</f>
        <v/>
      </c>
      <c r="S315" s="38" t="str">
        <f>IF(ISERROR(FIND('112'!$M$9,G315,1)),"",IF((AND(LEFT(G315,2)=LEFT('112'!$M$9,2),B315&lt;'112'!$N$8,$L315='112'!$I$6)),"x",""))</f>
        <v/>
      </c>
      <c r="T315" s="38" t="str">
        <f>IF(ISERROR(FIND('112'!$M$9,G315,1)),"",IF((AND(RIGHT(G315,2)=RIGHT('112'!$M$9,2),B315&lt;'112'!$N$8,$M315='112'!$I$6)),"x",""))</f>
        <v/>
      </c>
      <c r="U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38" t="str">
        <f>IF(OR(TH!L315=TH!$V$7,M315=TH!$V$7),"x","")</f>
        <v/>
      </c>
      <c r="W315" s="38" t="str">
        <f>IF(AND(B315&gt;='IN-NX'!$P$3,B315&lt;='IN-NX'!$Q$3,'IN-NX'!$D$7=D315,OR(LEFT(L315,2)="15",AND(LEFT(M315,2)&lt;&gt;"15",LEFT(M315,2)&lt;&gt;"33"))),"x","")</f>
        <v/>
      </c>
      <c r="X315" s="38" t="str">
        <f>IF(AND(OR(LEFT(TH!L315,2)="15",LEFT(TH!M315,2)="15"),'152-CT'!$J$8=TH!F315),"x","")</f>
        <v/>
      </c>
      <c r="Y315" s="38" t="str">
        <f>IF(AND(OR(LEFT(TH!L315,2)="15",LEFT(TH!M315,2)="15"),TK!$E$7=TH!F315),"x","")</f>
        <v/>
      </c>
      <c r="Z315" s="38" t="str">
        <f>IF(AND(B315&lt;=NKC!$N$8,B315&gt;=NKC!$M$8),"x","")</f>
        <v/>
      </c>
      <c r="AA315" s="845"/>
      <c r="AB315" s="581"/>
    </row>
    <row r="316" spans="1:30" s="201" customFormat="1" ht="15.75" customHeight="1">
      <c r="A316" s="846" t="str">
        <f>IF(B316&lt;&gt;"",IF(AND(B316&gt;=_TM1,B316&lt;=_TM2,OR(TH!L316="1111",TH!M316="1111")),TH!D316,""),"")</f>
        <v/>
      </c>
      <c r="B316" s="36" t="str">
        <f t="shared" si="10"/>
        <v/>
      </c>
      <c r="C316" s="187"/>
      <c r="D316" s="187"/>
      <c r="E316" s="187"/>
      <c r="F316" s="185"/>
      <c r="G316" s="854"/>
      <c r="H316" s="189"/>
      <c r="I316" s="249"/>
      <c r="J316" s="249"/>
      <c r="K316" s="589"/>
      <c r="L316" s="590"/>
      <c r="M316" s="590"/>
      <c r="N316" s="38" t="str">
        <f>IF(AND('331-CT'!$E$7=TH!H316,OR(L316="331",M316="331")),"331",IF(AND(OR(L316="131",M316="131"),H316='131-CT'!$E$7),"131",""))</f>
        <v/>
      </c>
      <c r="O316" s="38" t="str">
        <f>IF(AND($B316&gt;='111'!$N$11,$B316&lt;='111'!$O$11,OR($L316=$O$7,$M316=$O$7)),"x","")</f>
        <v/>
      </c>
      <c r="P316" s="38" t="str">
        <f>IF(AND($L316=$O$7,$B316&lt;'111'!$N$11),"x","")</f>
        <v/>
      </c>
      <c r="Q316" s="38" t="str">
        <f>IF(AND($M316=$O$7,$B316&lt;'111'!$N$11),"x","")</f>
        <v/>
      </c>
      <c r="R316" s="38" t="str">
        <f>IF(ISERROR(FIND('112'!$M$9,G316,1)),"",IF((AND(FIND('112'!$M$9,G316,1)&gt;=1,$B316&gt;='112'!$N$8,$B316&lt;='112'!$O$8,OR($L316='112'!$I$6,$M316='112'!$I$6))),"x",""))</f>
        <v/>
      </c>
      <c r="S316" s="38" t="str">
        <f>IF(ISERROR(FIND('112'!$M$9,G316,1)),"",IF((AND(LEFT(G316,2)=LEFT('112'!$M$9,2),B316&lt;'112'!$N$8,$L316='112'!$I$6)),"x",""))</f>
        <v/>
      </c>
      <c r="T316" s="38" t="str">
        <f>IF(ISERROR(FIND('112'!$M$9,G316,1)),"",IF((AND(RIGHT(G316,2)=RIGHT('112'!$M$9,2),B316&lt;'112'!$N$8,$M316='112'!$I$6)),"x",""))</f>
        <v/>
      </c>
      <c r="U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38" t="str">
        <f>IF(OR(TH!L316=TH!$V$7,M316=TH!$V$7),"x","")</f>
        <v/>
      </c>
      <c r="W316" s="38" t="str">
        <f>IF(AND(B316&gt;='IN-NX'!$P$3,B316&lt;='IN-NX'!$Q$3,'IN-NX'!$D$7=D316,OR(LEFT(L316,2)="15",AND(LEFT(M316,2)&lt;&gt;"15",LEFT(M316,2)&lt;&gt;"33"))),"x","")</f>
        <v/>
      </c>
      <c r="X316" s="38" t="str">
        <f>IF(AND(OR(LEFT(TH!L316,2)="15",LEFT(TH!M316,2)="15"),'152-CT'!$J$8=TH!F316),"x","")</f>
        <v/>
      </c>
      <c r="Y316" s="38" t="str">
        <f>IF(AND(OR(LEFT(TH!L316,2)="15",LEFT(TH!M316,2)="15"),TK!$E$7=TH!F316),"x","")</f>
        <v/>
      </c>
      <c r="Z316" s="38" t="str">
        <f>IF(AND(B316&lt;=NKC!$N$8,B316&gt;=NKC!$M$8),"x","")</f>
        <v/>
      </c>
      <c r="AA316" s="845"/>
      <c r="AB316" s="581"/>
    </row>
    <row r="317" spans="1:30" s="201" customFormat="1" ht="15.75" customHeight="1">
      <c r="A317" s="846" t="str">
        <f>IF(B317&lt;&gt;"",IF(AND(B317&gt;=_TM1,B317&lt;=_TM2,OR(TH!L317="1111",TH!M317="1111")),TH!D317,""),"")</f>
        <v/>
      </c>
      <c r="B317" s="36" t="str">
        <f t="shared" si="10"/>
        <v/>
      </c>
      <c r="C317" s="187"/>
      <c r="D317" s="187"/>
      <c r="E317" s="187"/>
      <c r="F317" s="185"/>
      <c r="G317" s="854"/>
      <c r="H317" s="189"/>
      <c r="I317" s="249"/>
      <c r="J317" s="249"/>
      <c r="K317" s="589"/>
      <c r="L317" s="590"/>
      <c r="M317" s="590"/>
      <c r="N317" s="38" t="str">
        <f>IF(AND('331-CT'!$E$7=TH!H317,OR(L317="331",M317="331")),"331",IF(AND(OR(L317="131",M317="131"),H317='131-CT'!$E$7),"131",""))</f>
        <v/>
      </c>
      <c r="O317" s="38" t="str">
        <f>IF(AND($B317&gt;='111'!$N$11,$B317&lt;='111'!$O$11,OR($L317=$O$7,$M317=$O$7)),"x","")</f>
        <v/>
      </c>
      <c r="P317" s="38" t="str">
        <f>IF(AND($L317=$O$7,$B317&lt;'111'!$N$11),"x","")</f>
        <v/>
      </c>
      <c r="Q317" s="38" t="str">
        <f>IF(AND($M317=$O$7,$B317&lt;'111'!$N$11),"x","")</f>
        <v/>
      </c>
      <c r="R317" s="38" t="str">
        <f>IF(ISERROR(FIND('112'!$M$9,G317,1)),"",IF((AND(FIND('112'!$M$9,G317,1)&gt;=1,$B317&gt;='112'!$N$8,$B317&lt;='112'!$O$8,OR($L317='112'!$I$6,$M317='112'!$I$6))),"x",""))</f>
        <v/>
      </c>
      <c r="S317" s="38" t="str">
        <f>IF(ISERROR(FIND('112'!$M$9,G317,1)),"",IF((AND(LEFT(G317,2)=LEFT('112'!$M$9,2),B317&lt;'112'!$N$8,$L317='112'!$I$6)),"x",""))</f>
        <v/>
      </c>
      <c r="T317" s="38" t="str">
        <f>IF(ISERROR(FIND('112'!$M$9,G317,1)),"",IF((AND(RIGHT(G317,2)=RIGHT('112'!$M$9,2),B317&lt;'112'!$N$8,$M317='112'!$I$6)),"x",""))</f>
        <v/>
      </c>
      <c r="U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38" t="str">
        <f>IF(OR(TH!L317=TH!$V$7,M317=TH!$V$7),"x","")</f>
        <v/>
      </c>
      <c r="W317" s="38" t="str">
        <f>IF(AND(B317&gt;='IN-NX'!$P$3,B317&lt;='IN-NX'!$Q$3,'IN-NX'!$D$7=D317,OR(LEFT(L317,2)="15",AND(LEFT(M317,2)&lt;&gt;"15",LEFT(M317,2)&lt;&gt;"33"))),"x","")</f>
        <v/>
      </c>
      <c r="X317" s="38" t="str">
        <f>IF(AND(OR(LEFT(TH!L317,2)="15",LEFT(TH!M317,2)="15"),'152-CT'!$J$8=TH!F317),"x","")</f>
        <v/>
      </c>
      <c r="Y317" s="38" t="str">
        <f>IF(AND(OR(LEFT(TH!L317,2)="15",LEFT(TH!M317,2)="15"),TK!$E$7=TH!F317),"x","")</f>
        <v/>
      </c>
      <c r="Z317" s="38" t="str">
        <f>IF(AND(B317&lt;=NKC!$N$8,B317&gt;=NKC!$M$8),"x","")</f>
        <v/>
      </c>
      <c r="AA317" s="845"/>
      <c r="AB317" s="581"/>
    </row>
    <row r="318" spans="1:30" s="201" customFormat="1" ht="15.75" customHeight="1">
      <c r="A318" s="846" t="str">
        <f>IF(B318&lt;&gt;"",IF(AND(B318&gt;=_TM1,B318&lt;=_TM2,OR(TH!L318="1111",TH!M318="1111")),TH!D318,""),"")</f>
        <v/>
      </c>
      <c r="B318" s="36" t="str">
        <f t="shared" si="10"/>
        <v/>
      </c>
      <c r="C318" s="187"/>
      <c r="D318" s="187"/>
      <c r="E318" s="187"/>
      <c r="F318" s="287"/>
      <c r="G318" s="854"/>
      <c r="H318" s="189"/>
      <c r="I318" s="249"/>
      <c r="J318" s="249"/>
      <c r="K318" s="589"/>
      <c r="L318" s="590"/>
      <c r="M318" s="590"/>
      <c r="N318" s="38" t="str">
        <f>IF(AND('331-CT'!$E$7=TH!H318,OR(L318="331",M318="331")),"331",IF(AND(OR(L318="131",M318="131"),H318='131-CT'!$E$7),"131",""))</f>
        <v/>
      </c>
      <c r="O318" s="38" t="str">
        <f>IF(AND($B318&gt;='111'!$N$11,$B318&lt;='111'!$O$11,OR($L318=$O$7,$M318=$O$7)),"x","")</f>
        <v/>
      </c>
      <c r="P318" s="38" t="str">
        <f>IF(AND($L318=$O$7,$B318&lt;'111'!$N$11),"x","")</f>
        <v/>
      </c>
      <c r="Q318" s="38" t="str">
        <f>IF(AND($M318=$O$7,$B318&lt;'111'!$N$11),"x","")</f>
        <v/>
      </c>
      <c r="R318" s="38" t="str">
        <f>IF(ISERROR(FIND('112'!$M$9,G318,1)),"",IF((AND(FIND('112'!$M$9,G318,1)&gt;=1,$B318&gt;='112'!$N$8,$B318&lt;='112'!$O$8,OR($L318='112'!$I$6,$M318='112'!$I$6))),"x",""))</f>
        <v/>
      </c>
      <c r="S318" s="38" t="str">
        <f>IF(ISERROR(FIND('112'!$M$9,G318,1)),"",IF((AND(LEFT(G318,2)=LEFT('112'!$M$9,2),B318&lt;'112'!$N$8,$L318='112'!$I$6)),"x",""))</f>
        <v/>
      </c>
      <c r="T318" s="38" t="str">
        <f>IF(ISERROR(FIND('112'!$M$9,G318,1)),"",IF((AND(RIGHT(G318,2)=RIGHT('112'!$M$9,2),B318&lt;'112'!$N$8,$M318='112'!$I$6)),"x",""))</f>
        <v/>
      </c>
      <c r="U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38" t="str">
        <f>IF(OR(TH!L318=TH!$V$7,M318=TH!$V$7),"x","")</f>
        <v/>
      </c>
      <c r="W318" s="38" t="str">
        <f>IF(AND(B318&gt;='IN-NX'!$P$3,B318&lt;='IN-NX'!$Q$3,'IN-NX'!$D$7=D318,OR(LEFT(L318,2)="15",AND(LEFT(M318,2)&lt;&gt;"15",LEFT(M318,2)&lt;&gt;"33"))),"x","")</f>
        <v/>
      </c>
      <c r="X318" s="38" t="str">
        <f>IF(AND(OR(LEFT(TH!L318,2)="15",LEFT(TH!M318,2)="15"),'152-CT'!$J$8=TH!F318),"x","")</f>
        <v/>
      </c>
      <c r="Y318" s="38" t="str">
        <f>IF(AND(OR(LEFT(TH!L318,2)="15",LEFT(TH!M318,2)="15"),TK!$E$7=TH!F318),"x","")</f>
        <v/>
      </c>
      <c r="Z318" s="38" t="str">
        <f>IF(AND(B318&lt;=NKC!$N$8,B318&gt;=NKC!$M$8),"x","")</f>
        <v/>
      </c>
      <c r="AA318" s="845"/>
      <c r="AB318" s="581"/>
    </row>
    <row r="319" spans="1:30" s="201" customFormat="1" ht="15.75" customHeight="1">
      <c r="A319" s="846" t="str">
        <f>IF(B319&lt;&gt;"",IF(AND(B319&gt;=_TM1,B319&lt;=_TM2,OR(TH!L319="1111",TH!M319="1111")),TH!D319,""),"")</f>
        <v/>
      </c>
      <c r="B319" s="36" t="str">
        <f t="shared" si="10"/>
        <v/>
      </c>
      <c r="C319" s="187"/>
      <c r="D319" s="187"/>
      <c r="E319" s="187"/>
      <c r="F319" s="39"/>
      <c r="G319" s="854"/>
      <c r="H319" s="189"/>
      <c r="I319" s="249"/>
      <c r="J319" s="249"/>
      <c r="K319" s="589"/>
      <c r="L319" s="590"/>
      <c r="M319" s="590"/>
      <c r="N319" s="38" t="str">
        <f>IF(AND('331-CT'!$E$7=TH!H319,OR(L319="331",M319="331")),"331",IF(AND(OR(L319="131",M319="131"),H319='131-CT'!$E$7),"131",""))</f>
        <v/>
      </c>
      <c r="O319" s="38" t="str">
        <f>IF(AND($B319&gt;='111'!$N$11,$B319&lt;='111'!$O$11,OR($L319=$O$7,$M319=$O$7)),"x","")</f>
        <v/>
      </c>
      <c r="P319" s="38" t="str">
        <f>IF(AND($L319=$O$7,$B319&lt;'111'!$N$11),"x","")</f>
        <v/>
      </c>
      <c r="Q319" s="38" t="str">
        <f>IF(AND($M319=$O$7,$B319&lt;'111'!$N$11),"x","")</f>
        <v/>
      </c>
      <c r="R319" s="38" t="str">
        <f>IF(ISERROR(FIND('112'!$M$9,G319,1)),"",IF((AND(FIND('112'!$M$9,G319,1)&gt;=1,$B319&gt;='112'!$N$8,$B319&lt;='112'!$O$8,OR($L319='112'!$I$6,$M319='112'!$I$6))),"x",""))</f>
        <v/>
      </c>
      <c r="S319" s="38" t="str">
        <f>IF(ISERROR(FIND('112'!$M$9,G319,1)),"",IF((AND(LEFT(G319,2)=LEFT('112'!$M$9,2),B319&lt;'112'!$N$8,$L319='112'!$I$6)),"x",""))</f>
        <v/>
      </c>
      <c r="T319" s="38" t="str">
        <f>IF(ISERROR(FIND('112'!$M$9,G319,1)),"",IF((AND(RIGHT(G319,2)=RIGHT('112'!$M$9,2),B319&lt;'112'!$N$8,$M319='112'!$I$6)),"x",""))</f>
        <v/>
      </c>
      <c r="U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38" t="str">
        <f>IF(OR(TH!L319=TH!$V$7,M319=TH!$V$7),"x","")</f>
        <v/>
      </c>
      <c r="W319" s="38" t="str">
        <f>IF(AND(B319&gt;='IN-NX'!$P$3,B319&lt;='IN-NX'!$Q$3,'IN-NX'!$D$7=D319,OR(LEFT(L319,2)="15",AND(LEFT(M319,2)&lt;&gt;"15",LEFT(M319,2)&lt;&gt;"33"))),"x","")</f>
        <v/>
      </c>
      <c r="X319" s="38" t="str">
        <f>IF(AND(OR(LEFT(TH!L319,2)="15",LEFT(TH!M319,2)="15"),'152-CT'!$J$8=TH!F319),"x","")</f>
        <v/>
      </c>
      <c r="Y319" s="38" t="str">
        <f>IF(AND(OR(LEFT(TH!L319,2)="15",LEFT(TH!M319,2)="15"),TK!$E$7=TH!F319),"x","")</f>
        <v/>
      </c>
      <c r="Z319" s="38" t="str">
        <f>IF(AND(B319&lt;=NKC!$N$8,B319&gt;=NKC!$M$8),"x","")</f>
        <v/>
      </c>
      <c r="AA319" s="845"/>
      <c r="AB319" s="581"/>
    </row>
    <row r="320" spans="1:30" s="201" customFormat="1" ht="15.75" customHeight="1">
      <c r="A320" s="846" t="str">
        <f>IF(B320&lt;&gt;"",IF(AND(B320&gt;=_TM1,B320&lt;=_TM2,OR(TH!L320="1111",TH!M320="1111")),TH!D320,""),"")</f>
        <v/>
      </c>
      <c r="B320" s="36" t="str">
        <f t="shared" si="10"/>
        <v/>
      </c>
      <c r="C320" s="187"/>
      <c r="D320" s="187"/>
      <c r="E320" s="187"/>
      <c r="F320" s="185"/>
      <c r="G320" s="854"/>
      <c r="H320" s="189"/>
      <c r="I320" s="249"/>
      <c r="J320" s="249"/>
      <c r="K320" s="589"/>
      <c r="L320" s="590"/>
      <c r="M320" s="590"/>
      <c r="N320" s="38" t="str">
        <f>IF(AND('331-CT'!$E$7=TH!H320,OR(L320="331",M320="331")),"331",IF(AND(OR(L320="131",M320="131"),H320='131-CT'!$E$7),"131",""))</f>
        <v/>
      </c>
      <c r="O320" s="38" t="str">
        <f>IF(AND($B320&gt;='111'!$N$11,$B320&lt;='111'!$O$11,OR($L320=$O$7,$M320=$O$7)),"x","")</f>
        <v/>
      </c>
      <c r="P320" s="38" t="str">
        <f>IF(AND($L320=$O$7,$B320&lt;'111'!$N$11),"x","")</f>
        <v/>
      </c>
      <c r="Q320" s="38" t="str">
        <f>IF(AND($M320=$O$7,$B320&lt;'111'!$N$11),"x","")</f>
        <v/>
      </c>
      <c r="R320" s="38" t="str">
        <f>IF(ISERROR(FIND('112'!$M$9,G320,1)),"",IF((AND(FIND('112'!$M$9,G320,1)&gt;=1,$B320&gt;='112'!$N$8,$B320&lt;='112'!$O$8,OR($L320='112'!$I$6,$M320='112'!$I$6))),"x",""))</f>
        <v/>
      </c>
      <c r="S320" s="38" t="str">
        <f>IF(ISERROR(FIND('112'!$M$9,G320,1)),"",IF((AND(LEFT(G320,2)=LEFT('112'!$M$9,2),B320&lt;'112'!$N$8,$L320='112'!$I$6)),"x",""))</f>
        <v/>
      </c>
      <c r="T320" s="38" t="str">
        <f>IF(ISERROR(FIND('112'!$M$9,G320,1)),"",IF((AND(RIGHT(G320,2)=RIGHT('112'!$M$9,2),B320&lt;'112'!$N$8,$M320='112'!$I$6)),"x",""))</f>
        <v/>
      </c>
      <c r="U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38" t="str">
        <f>IF(OR(TH!L320=TH!$V$7,M320=TH!$V$7),"x","")</f>
        <v/>
      </c>
      <c r="W320" s="38" t="str">
        <f>IF(AND(B320&gt;='IN-NX'!$P$3,B320&lt;='IN-NX'!$Q$3,'IN-NX'!$D$7=D320,OR(LEFT(L320,2)="15",AND(LEFT(M320,2)&lt;&gt;"15",LEFT(M320,2)&lt;&gt;"33"))),"x","")</f>
        <v/>
      </c>
      <c r="X320" s="38" t="str">
        <f>IF(AND(OR(LEFT(TH!L320,2)="15",LEFT(TH!M320,2)="15"),'152-CT'!$J$8=TH!F320),"x","")</f>
        <v/>
      </c>
      <c r="Y320" s="38" t="str">
        <f>IF(AND(OR(LEFT(TH!L320,2)="15",LEFT(TH!M320,2)="15"),TK!$E$7=TH!F320),"x","")</f>
        <v/>
      </c>
      <c r="Z320" s="38" t="str">
        <f>IF(AND(B320&lt;=NKC!$N$8,B320&gt;=NKC!$M$8),"x","")</f>
        <v/>
      </c>
      <c r="AA320" s="845"/>
      <c r="AB320" s="581"/>
    </row>
    <row r="321" spans="1:28" s="201" customFormat="1" ht="15.75" customHeight="1">
      <c r="A321" s="846" t="str">
        <f>IF(B321&lt;&gt;"",IF(AND(B321&gt;=_TM1,B321&lt;=_TM2,OR(TH!L321="1111",TH!M321="1111")),TH!D321,""),"")</f>
        <v/>
      </c>
      <c r="B321" s="36" t="str">
        <f t="shared" si="10"/>
        <v/>
      </c>
      <c r="C321" s="187"/>
      <c r="D321" s="187"/>
      <c r="E321" s="187"/>
      <c r="F321" s="185"/>
      <c r="G321" s="854"/>
      <c r="H321" s="189"/>
      <c r="I321" s="249"/>
      <c r="J321" s="249"/>
      <c r="K321" s="589"/>
      <c r="L321" s="590"/>
      <c r="M321" s="590"/>
      <c r="N321" s="38" t="str">
        <f>IF(AND('331-CT'!$E$7=TH!H321,OR(L321="331",M321="331")),"331",IF(AND(OR(L321="131",M321="131"),H321='131-CT'!$E$7),"131",""))</f>
        <v/>
      </c>
      <c r="O321" s="38" t="str">
        <f>IF(AND($B321&gt;='111'!$N$11,$B321&lt;='111'!$O$11,OR($L321=$O$7,$M321=$O$7)),"x","")</f>
        <v/>
      </c>
      <c r="P321" s="38" t="str">
        <f>IF(AND($L321=$O$7,$B321&lt;'111'!$N$11),"x","")</f>
        <v/>
      </c>
      <c r="Q321" s="38" t="str">
        <f>IF(AND($M321=$O$7,$B321&lt;'111'!$N$11),"x","")</f>
        <v/>
      </c>
      <c r="R321" s="38" t="str">
        <f>IF(ISERROR(FIND('112'!$M$9,G321,1)),"",IF((AND(FIND('112'!$M$9,G321,1)&gt;=1,$B321&gt;='112'!$N$8,$B321&lt;='112'!$O$8,OR($L321='112'!$I$6,$M321='112'!$I$6))),"x",""))</f>
        <v/>
      </c>
      <c r="S321" s="38" t="str">
        <f>IF(ISERROR(FIND('112'!$M$9,G321,1)),"",IF((AND(LEFT(G321,2)=LEFT('112'!$M$9,2),B321&lt;'112'!$N$8,$L321='112'!$I$6)),"x",""))</f>
        <v/>
      </c>
      <c r="T321" s="38" t="str">
        <f>IF(ISERROR(FIND('112'!$M$9,G321,1)),"",IF((AND(RIGHT(G321,2)=RIGHT('112'!$M$9,2),B321&lt;'112'!$N$8,$M321='112'!$I$6)),"x",""))</f>
        <v/>
      </c>
      <c r="U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38" t="str">
        <f>IF(OR(TH!L321=TH!$V$7,M321=TH!$V$7),"x","")</f>
        <v/>
      </c>
      <c r="W321" s="38" t="str">
        <f>IF(AND(B321&gt;='IN-NX'!$P$3,B321&lt;='IN-NX'!$Q$3,'IN-NX'!$D$7=D321,OR(LEFT(L321,2)="15",AND(LEFT(M321,2)&lt;&gt;"15",LEFT(M321,2)&lt;&gt;"33"))),"x","")</f>
        <v/>
      </c>
      <c r="X321" s="38" t="str">
        <f>IF(AND(OR(LEFT(TH!L321,2)="15",LEFT(TH!M321,2)="15"),'152-CT'!$J$8=TH!F321),"x","")</f>
        <v/>
      </c>
      <c r="Y321" s="38" t="str">
        <f>IF(AND(OR(LEFT(TH!L321,2)="15",LEFT(TH!M321,2)="15"),TK!$E$7=TH!F321),"x","")</f>
        <v/>
      </c>
      <c r="Z321" s="38" t="str">
        <f>IF(AND(B321&lt;=NKC!$N$8,B321&gt;=NKC!$M$8),"x","")</f>
        <v/>
      </c>
      <c r="AA321" s="845"/>
      <c r="AB321" s="581"/>
    </row>
    <row r="322" spans="1:28" s="201" customFormat="1" ht="15.75" customHeight="1">
      <c r="A322" s="846" t="str">
        <f>IF(B322&lt;&gt;"",IF(AND(B322&gt;=_TM1,B322&lt;=_TM2,OR(TH!L322="1111",TH!M322="1111")),TH!D322,""),"")</f>
        <v/>
      </c>
      <c r="B322" s="36" t="str">
        <f t="shared" si="10"/>
        <v/>
      </c>
      <c r="C322" s="187"/>
      <c r="D322" s="187"/>
      <c r="E322" s="187"/>
      <c r="F322" s="185"/>
      <c r="G322" s="854"/>
      <c r="H322" s="189"/>
      <c r="I322" s="249"/>
      <c r="J322" s="249"/>
      <c r="K322" s="589"/>
      <c r="L322" s="590"/>
      <c r="M322" s="590"/>
      <c r="N322" s="38" t="str">
        <f>IF(AND('331-CT'!$E$7=TH!H322,OR(L322="331",M322="331")),"331",IF(AND(OR(L322="131",M322="131"),H322='131-CT'!$E$7),"131",""))</f>
        <v/>
      </c>
      <c r="O322" s="38" t="str">
        <f>IF(AND($B322&gt;='111'!$N$11,$B322&lt;='111'!$O$11,OR($L322=$O$7,$M322=$O$7)),"x","")</f>
        <v/>
      </c>
      <c r="P322" s="38" t="str">
        <f>IF(AND($L322=$O$7,$B322&lt;'111'!$N$11),"x","")</f>
        <v/>
      </c>
      <c r="Q322" s="38" t="str">
        <f>IF(AND($M322=$O$7,$B322&lt;'111'!$N$11),"x","")</f>
        <v/>
      </c>
      <c r="R322" s="38" t="str">
        <f>IF(ISERROR(FIND('112'!$M$9,G322,1)),"",IF((AND(FIND('112'!$M$9,G322,1)&gt;=1,$B322&gt;='112'!$N$8,$B322&lt;='112'!$O$8,OR($L322='112'!$I$6,$M322='112'!$I$6))),"x",""))</f>
        <v/>
      </c>
      <c r="S322" s="38" t="str">
        <f>IF(ISERROR(FIND('112'!$M$9,G322,1)),"",IF((AND(LEFT(G322,2)=LEFT('112'!$M$9,2),B322&lt;'112'!$N$8,$L322='112'!$I$6)),"x",""))</f>
        <v/>
      </c>
      <c r="T322" s="38" t="str">
        <f>IF(ISERROR(FIND('112'!$M$9,G322,1)),"",IF((AND(RIGHT(G322,2)=RIGHT('112'!$M$9,2),B322&lt;'112'!$N$8,$M322='112'!$I$6)),"x",""))</f>
        <v/>
      </c>
      <c r="U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38" t="str">
        <f>IF(OR(TH!L322=TH!$V$7,M322=TH!$V$7),"x","")</f>
        <v/>
      </c>
      <c r="W322" s="38" t="str">
        <f>IF(AND(B322&gt;='IN-NX'!$P$3,B322&lt;='IN-NX'!$Q$3,'IN-NX'!$D$7=D322,OR(LEFT(L322,2)="15",AND(LEFT(M322,2)&lt;&gt;"15",LEFT(M322,2)&lt;&gt;"33"))),"x","")</f>
        <v/>
      </c>
      <c r="X322" s="38" t="str">
        <f>IF(AND(OR(LEFT(TH!L322,2)="15",LEFT(TH!M322,2)="15"),'152-CT'!$J$8=TH!F322),"x","")</f>
        <v/>
      </c>
      <c r="Y322" s="38" t="str">
        <f>IF(AND(OR(LEFT(TH!L322,2)="15",LEFT(TH!M322,2)="15"),TK!$E$7=TH!F322),"x","")</f>
        <v/>
      </c>
      <c r="Z322" s="38" t="str">
        <f>IF(AND(B322&lt;=NKC!$N$8,B322&gt;=NKC!$M$8),"x","")</f>
        <v/>
      </c>
      <c r="AA322" s="845"/>
      <c r="AB322" s="581"/>
    </row>
    <row r="323" spans="1:28" s="201" customFormat="1" ht="15.75" customHeight="1">
      <c r="A323" s="846" t="str">
        <f>IF(B323&lt;&gt;"",IF(AND(B323&gt;=_TM1,B323&lt;=_TM2,OR(TH!L323="1111",TH!M323="1111")),TH!D323,""),"")</f>
        <v/>
      </c>
      <c r="B323" s="36" t="str">
        <f t="shared" si="10"/>
        <v/>
      </c>
      <c r="C323" s="187"/>
      <c r="D323" s="187"/>
      <c r="E323" s="187"/>
      <c r="F323" s="185"/>
      <c r="G323" s="854"/>
      <c r="H323" s="189"/>
      <c r="I323" s="249"/>
      <c r="J323" s="249"/>
      <c r="K323" s="589"/>
      <c r="L323" s="590"/>
      <c r="M323" s="590"/>
      <c r="N323" s="38" t="str">
        <f>IF(AND('331-CT'!$E$7=TH!H323,OR(L323="331",M323="331")),"331",IF(AND(OR(L323="131",M323="131"),H323='131-CT'!$E$7),"131",""))</f>
        <v/>
      </c>
      <c r="O323" s="38" t="str">
        <f>IF(AND($B323&gt;='111'!$N$11,$B323&lt;='111'!$O$11,OR($L323=$O$7,$M323=$O$7)),"x","")</f>
        <v/>
      </c>
      <c r="P323" s="38" t="str">
        <f>IF(AND($L323=$O$7,$B323&lt;'111'!$N$11),"x","")</f>
        <v/>
      </c>
      <c r="Q323" s="38" t="str">
        <f>IF(AND($M323=$O$7,$B323&lt;'111'!$N$11),"x","")</f>
        <v/>
      </c>
      <c r="R323" s="38" t="str">
        <f>IF(ISERROR(FIND('112'!$M$9,G323,1)),"",IF((AND(FIND('112'!$M$9,G323,1)&gt;=1,$B323&gt;='112'!$N$8,$B323&lt;='112'!$O$8,OR($L323='112'!$I$6,$M323='112'!$I$6))),"x",""))</f>
        <v/>
      </c>
      <c r="S323" s="38" t="str">
        <f>IF(ISERROR(FIND('112'!$M$9,G323,1)),"",IF((AND(LEFT(G323,2)=LEFT('112'!$M$9,2),B323&lt;'112'!$N$8,$L323='112'!$I$6)),"x",""))</f>
        <v/>
      </c>
      <c r="T323" s="38" t="str">
        <f>IF(ISERROR(FIND('112'!$M$9,G323,1)),"",IF((AND(RIGHT(G323,2)=RIGHT('112'!$M$9,2),B323&lt;'112'!$N$8,$M323='112'!$I$6)),"x",""))</f>
        <v/>
      </c>
      <c r="U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38" t="str">
        <f>IF(OR(TH!L323=TH!$V$7,M323=TH!$V$7),"x","")</f>
        <v/>
      </c>
      <c r="W323" s="38" t="str">
        <f>IF(AND(B323&gt;='IN-NX'!$P$3,B323&lt;='IN-NX'!$Q$3,'IN-NX'!$D$7=D323,OR(LEFT(L323,2)="15",AND(LEFT(M323,2)&lt;&gt;"15",LEFT(M323,2)&lt;&gt;"33"))),"x","")</f>
        <v/>
      </c>
      <c r="X323" s="38" t="str">
        <f>IF(AND(OR(LEFT(TH!L323,2)="15",LEFT(TH!M323,2)="15"),'152-CT'!$J$8=TH!F323),"x","")</f>
        <v/>
      </c>
      <c r="Y323" s="38" t="str">
        <f>IF(AND(OR(LEFT(TH!L323,2)="15",LEFT(TH!M323,2)="15"),TK!$E$7=TH!F323),"x","")</f>
        <v/>
      </c>
      <c r="Z323" s="38" t="str">
        <f>IF(AND(B323&lt;=NKC!$N$8,B323&gt;=NKC!$M$8),"x","")</f>
        <v/>
      </c>
      <c r="AA323" s="845"/>
      <c r="AB323" s="581"/>
    </row>
    <row r="324" spans="1:28" s="201" customFormat="1" ht="15.75" customHeight="1">
      <c r="A324" s="846" t="str">
        <f>IF(B324&lt;&gt;"",IF(AND(B324&gt;=_TM1,B324&lt;=_TM2,OR(TH!L324="1111",TH!M324="1111")),TH!D324,""),"")</f>
        <v/>
      </c>
      <c r="B324" s="36" t="str">
        <f t="shared" si="10"/>
        <v/>
      </c>
      <c r="C324" s="187"/>
      <c r="D324" s="187"/>
      <c r="E324" s="187"/>
      <c r="F324" s="39"/>
      <c r="G324" s="854"/>
      <c r="H324" s="189"/>
      <c r="I324" s="249"/>
      <c r="J324" s="249"/>
      <c r="K324" s="589"/>
      <c r="L324" s="590"/>
      <c r="M324" s="590"/>
      <c r="N324" s="38" t="str">
        <f>IF(AND('331-CT'!$E$7=TH!H324,OR(L324="331",M324="331")),"331",IF(AND(OR(L324="131",M324="131"),H324='131-CT'!$E$7),"131",""))</f>
        <v/>
      </c>
      <c r="O324" s="38" t="str">
        <f>IF(AND($B324&gt;='111'!$N$11,$B324&lt;='111'!$O$11,OR($L324=$O$7,$M324=$O$7)),"x","")</f>
        <v/>
      </c>
      <c r="P324" s="38" t="str">
        <f>IF(AND($L324=$O$7,$B324&lt;'111'!$N$11),"x","")</f>
        <v/>
      </c>
      <c r="Q324" s="38" t="str">
        <f>IF(AND($M324=$O$7,$B324&lt;'111'!$N$11),"x","")</f>
        <v/>
      </c>
      <c r="R324" s="38" t="str">
        <f>IF(ISERROR(FIND('112'!$M$9,G324,1)),"",IF((AND(FIND('112'!$M$9,G324,1)&gt;=1,$B324&gt;='112'!$N$8,$B324&lt;='112'!$O$8,OR($L324='112'!$I$6,$M324='112'!$I$6))),"x",""))</f>
        <v/>
      </c>
      <c r="S324" s="38" t="str">
        <f>IF(ISERROR(FIND('112'!$M$9,G324,1)),"",IF((AND(LEFT(G324,2)=LEFT('112'!$M$9,2),B324&lt;'112'!$N$8,$L324='112'!$I$6)),"x",""))</f>
        <v/>
      </c>
      <c r="T324" s="38" t="str">
        <f>IF(ISERROR(FIND('112'!$M$9,G324,1)),"",IF((AND(RIGHT(G324,2)=RIGHT('112'!$M$9,2),B324&lt;'112'!$N$8,$M324='112'!$I$6)),"x",""))</f>
        <v/>
      </c>
      <c r="U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38" t="str">
        <f>IF(OR(TH!L324=TH!$V$7,M324=TH!$V$7),"x","")</f>
        <v/>
      </c>
      <c r="W324" s="38" t="str">
        <f>IF(AND(B324&gt;='IN-NX'!$P$3,B324&lt;='IN-NX'!$Q$3,'IN-NX'!$D$7=D324,OR(LEFT(L324,2)="15",AND(LEFT(M324,2)&lt;&gt;"15",LEFT(M324,2)&lt;&gt;"33"))),"x","")</f>
        <v/>
      </c>
      <c r="X324" s="38" t="str">
        <f>IF(AND(OR(LEFT(TH!L324,2)="15",LEFT(TH!M324,2)="15"),'152-CT'!$J$8=TH!F324),"x","")</f>
        <v/>
      </c>
      <c r="Y324" s="38" t="str">
        <f>IF(AND(OR(LEFT(TH!L324,2)="15",LEFT(TH!M324,2)="15"),TK!$E$7=TH!F324),"x","")</f>
        <v/>
      </c>
      <c r="Z324" s="38" t="str">
        <f>IF(AND(B324&lt;=NKC!$N$8,B324&gt;=NKC!$M$8),"x","")</f>
        <v/>
      </c>
      <c r="AA324" s="845"/>
      <c r="AB324" s="581"/>
    </row>
    <row r="325" spans="1:28" s="201" customFormat="1" ht="15.75" customHeight="1">
      <c r="A325" s="846" t="str">
        <f>IF(B325&lt;&gt;"",IF(AND(B325&gt;=_TM1,B325&lt;=_TM2,OR(TH!L325="1111",TH!M325="1111")),TH!D325,""),"")</f>
        <v/>
      </c>
      <c r="B325" s="36" t="str">
        <f t="shared" si="10"/>
        <v/>
      </c>
      <c r="C325" s="187"/>
      <c r="D325" s="187"/>
      <c r="E325" s="187"/>
      <c r="F325" s="39"/>
      <c r="G325" s="854"/>
      <c r="H325" s="189"/>
      <c r="I325" s="249"/>
      <c r="J325" s="249"/>
      <c r="K325" s="589"/>
      <c r="L325" s="590"/>
      <c r="M325" s="590"/>
      <c r="N325" s="38" t="str">
        <f>IF(AND('331-CT'!$E$7=TH!H325,OR(L325="331",M325="331")),"331",IF(AND(OR(L325="131",M325="131"),H325='131-CT'!$E$7),"131",""))</f>
        <v/>
      </c>
      <c r="O325" s="38" t="str">
        <f>IF(AND($B325&gt;='111'!$N$11,$B325&lt;='111'!$O$11,OR($L325=$O$7,$M325=$O$7)),"x","")</f>
        <v/>
      </c>
      <c r="P325" s="38" t="str">
        <f>IF(AND($L325=$O$7,$B325&lt;'111'!$N$11),"x","")</f>
        <v/>
      </c>
      <c r="Q325" s="38" t="str">
        <f>IF(AND($M325=$O$7,$B325&lt;'111'!$N$11),"x","")</f>
        <v/>
      </c>
      <c r="R325" s="38" t="str">
        <f>IF(ISERROR(FIND('112'!$M$9,G325,1)),"",IF((AND(FIND('112'!$M$9,G325,1)&gt;=1,$B325&gt;='112'!$N$8,$B325&lt;='112'!$O$8,OR($L325='112'!$I$6,$M325='112'!$I$6))),"x",""))</f>
        <v/>
      </c>
      <c r="S325" s="38" t="str">
        <f>IF(ISERROR(FIND('112'!$M$9,G325,1)),"",IF((AND(LEFT(G325,2)=LEFT('112'!$M$9,2),B325&lt;'112'!$N$8,$L325='112'!$I$6)),"x",""))</f>
        <v/>
      </c>
      <c r="T325" s="38" t="str">
        <f>IF(ISERROR(FIND('112'!$M$9,G325,1)),"",IF((AND(RIGHT(G325,2)=RIGHT('112'!$M$9,2),B325&lt;'112'!$N$8,$M325='112'!$I$6)),"x",""))</f>
        <v/>
      </c>
      <c r="U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38" t="str">
        <f>IF(OR(TH!L325=TH!$V$7,M325=TH!$V$7),"x","")</f>
        <v/>
      </c>
      <c r="W325" s="38" t="str">
        <f>IF(AND(B325&gt;='IN-NX'!$P$3,B325&lt;='IN-NX'!$Q$3,'IN-NX'!$D$7=D325,OR(LEFT(L325,2)="15",AND(LEFT(M325,2)&lt;&gt;"15",LEFT(M325,2)&lt;&gt;"33"))),"x","")</f>
        <v/>
      </c>
      <c r="X325" s="38" t="str">
        <f>IF(AND(OR(LEFT(TH!L325,2)="15",LEFT(TH!M325,2)="15"),'152-CT'!$J$8=TH!F325),"x","")</f>
        <v/>
      </c>
      <c r="Y325" s="38" t="str">
        <f>IF(AND(OR(LEFT(TH!L325,2)="15",LEFT(TH!M325,2)="15"),TK!$E$7=TH!F325),"x","")</f>
        <v/>
      </c>
      <c r="Z325" s="38" t="str">
        <f>IF(AND(B325&lt;=NKC!$N$8,B325&gt;=NKC!$M$8),"x","")</f>
        <v/>
      </c>
      <c r="AA325" s="845"/>
      <c r="AB325" s="581"/>
    </row>
    <row r="326" spans="1:28" s="201" customFormat="1" ht="15.75" customHeight="1">
      <c r="A326" s="846" t="str">
        <f>IF(B326&lt;&gt;"",IF(AND(B326&gt;=_TM1,B326&lt;=_TM2,OR(TH!L326="1111",TH!M326="1111")),TH!D326,""),"")</f>
        <v/>
      </c>
      <c r="B326" s="36" t="str">
        <f t="shared" si="10"/>
        <v/>
      </c>
      <c r="C326" s="187"/>
      <c r="D326" s="187"/>
      <c r="E326" s="187"/>
      <c r="F326" s="185"/>
      <c r="G326" s="854"/>
      <c r="H326" s="189"/>
      <c r="I326" s="249"/>
      <c r="J326" s="249"/>
      <c r="K326" s="589"/>
      <c r="L326" s="590"/>
      <c r="M326" s="590"/>
      <c r="N326" s="38" t="str">
        <f>IF(AND('331-CT'!$E$7=TH!H326,OR(L326="331",M326="331")),"331",IF(AND(OR(L326="131",M326="131"),H326='131-CT'!$E$7),"131",""))</f>
        <v/>
      </c>
      <c r="O326" s="38" t="str">
        <f>IF(AND($B326&gt;='111'!$N$11,$B326&lt;='111'!$O$11,OR($L326=$O$7,$M326=$O$7)),"x","")</f>
        <v/>
      </c>
      <c r="P326" s="38" t="str">
        <f>IF(AND($L326=$O$7,$B326&lt;'111'!$N$11),"x","")</f>
        <v/>
      </c>
      <c r="Q326" s="38" t="str">
        <f>IF(AND($M326=$O$7,$B326&lt;'111'!$N$11),"x","")</f>
        <v/>
      </c>
      <c r="R326" s="38" t="str">
        <f>IF(ISERROR(FIND('112'!$M$9,G326,1)),"",IF((AND(FIND('112'!$M$9,G326,1)&gt;=1,$B326&gt;='112'!$N$8,$B326&lt;='112'!$O$8,OR($L326='112'!$I$6,$M326='112'!$I$6))),"x",""))</f>
        <v/>
      </c>
      <c r="S326" s="38" t="str">
        <f>IF(ISERROR(FIND('112'!$M$9,G326,1)),"",IF((AND(LEFT(G326,2)=LEFT('112'!$M$9,2),B326&lt;'112'!$N$8,$L326='112'!$I$6)),"x",""))</f>
        <v/>
      </c>
      <c r="T326" s="38" t="str">
        <f>IF(ISERROR(FIND('112'!$M$9,G326,1)),"",IF((AND(RIGHT(G326,2)=RIGHT('112'!$M$9,2),B326&lt;'112'!$N$8,$M326='112'!$I$6)),"x",""))</f>
        <v/>
      </c>
      <c r="U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38" t="str">
        <f>IF(OR(TH!L326=TH!$V$7,M326=TH!$V$7),"x","")</f>
        <v/>
      </c>
      <c r="W326" s="38" t="str">
        <f>IF(AND(B326&gt;='IN-NX'!$P$3,B326&lt;='IN-NX'!$Q$3,'IN-NX'!$D$7=D326,OR(LEFT(L326,2)="15",AND(LEFT(M326,2)&lt;&gt;"15",LEFT(M326,2)&lt;&gt;"33"))),"x","")</f>
        <v/>
      </c>
      <c r="X326" s="38" t="str">
        <f>IF(AND(OR(LEFT(TH!L326,2)="15",LEFT(TH!M326,2)="15"),'152-CT'!$J$8=TH!F326),"x","")</f>
        <v/>
      </c>
      <c r="Y326" s="38" t="str">
        <f>IF(AND(OR(LEFT(TH!L326,2)="15",LEFT(TH!M326,2)="15"),TK!$E$7=TH!F326),"x","")</f>
        <v/>
      </c>
      <c r="Z326" s="38" t="str">
        <f>IF(AND(B326&lt;=NKC!$N$8,B326&gt;=NKC!$M$8),"x","")</f>
        <v/>
      </c>
      <c r="AA326" s="845"/>
      <c r="AB326" s="581"/>
    </row>
    <row r="327" spans="1:28" s="201" customFormat="1" ht="15.75" customHeight="1">
      <c r="A327" s="846" t="str">
        <f>IF(B327&lt;&gt;"",IF(AND(B327&gt;=_TM1,B327&lt;=_TM2,OR(TH!L327="1111",TH!M327="1111")),TH!D327,""),"")</f>
        <v/>
      </c>
      <c r="B327" s="36" t="str">
        <f t="shared" si="10"/>
        <v/>
      </c>
      <c r="C327" s="187"/>
      <c r="D327" s="187"/>
      <c r="E327" s="187"/>
      <c r="F327" s="188"/>
      <c r="G327" s="854"/>
      <c r="H327" s="189"/>
      <c r="I327" s="249"/>
      <c r="J327" s="249"/>
      <c r="K327" s="589"/>
      <c r="L327" s="590"/>
      <c r="M327" s="590"/>
      <c r="N327" s="38" t="str">
        <f>IF(AND('331-CT'!$E$7=TH!H327,OR(L327="331",M327="331")),"331",IF(AND(OR(L327="131",M327="131"),H327='131-CT'!$E$7),"131",""))</f>
        <v/>
      </c>
      <c r="O327" s="38" t="str">
        <f>IF(AND($B327&gt;='111'!$N$11,$B327&lt;='111'!$O$11,OR($L327=$O$7,$M327=$O$7)),"x","")</f>
        <v/>
      </c>
      <c r="P327" s="38" t="str">
        <f>IF(AND($L327=$O$7,$B327&lt;'111'!$N$11),"x","")</f>
        <v/>
      </c>
      <c r="Q327" s="38" t="str">
        <f>IF(AND($M327=$O$7,$B327&lt;'111'!$N$11),"x","")</f>
        <v/>
      </c>
      <c r="R327" s="38" t="str">
        <f>IF(ISERROR(FIND('112'!$M$9,G327,1)),"",IF((AND(FIND('112'!$M$9,G327,1)&gt;=1,$B327&gt;='112'!$N$8,$B327&lt;='112'!$O$8,OR($L327='112'!$I$6,$M327='112'!$I$6))),"x",""))</f>
        <v/>
      </c>
      <c r="S327" s="38" t="str">
        <f>IF(ISERROR(FIND('112'!$M$9,G327,1)),"",IF((AND(LEFT(G327,2)=LEFT('112'!$M$9,2),B327&lt;'112'!$N$8,$L327='112'!$I$6)),"x",""))</f>
        <v/>
      </c>
      <c r="T327" s="38" t="str">
        <f>IF(ISERROR(FIND('112'!$M$9,G327,1)),"",IF((AND(RIGHT(G327,2)=RIGHT('112'!$M$9,2),B327&lt;'112'!$N$8,$M327='112'!$I$6)),"x",""))</f>
        <v/>
      </c>
      <c r="U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38" t="str">
        <f>IF(OR(TH!L327=TH!$V$7,M327=TH!$V$7),"x","")</f>
        <v/>
      </c>
      <c r="W327" s="38" t="str">
        <f>IF(AND(B327&gt;='IN-NX'!$P$3,B327&lt;='IN-NX'!$Q$3,'IN-NX'!$D$7=D327,OR(LEFT(L327,2)="15",AND(LEFT(M327,2)&lt;&gt;"15",LEFT(M327,2)&lt;&gt;"33"))),"x","")</f>
        <v/>
      </c>
      <c r="X327" s="38" t="str">
        <f>IF(AND(OR(LEFT(TH!L327,2)="15",LEFT(TH!M327,2)="15"),'152-CT'!$J$8=TH!F327),"x","")</f>
        <v/>
      </c>
      <c r="Y327" s="38" t="str">
        <f>IF(AND(OR(LEFT(TH!L327,2)="15",LEFT(TH!M327,2)="15"),TK!$E$7=TH!F327),"x","")</f>
        <v/>
      </c>
      <c r="Z327" s="38" t="str">
        <f>IF(AND(B327&lt;=NKC!$N$8,B327&gt;=NKC!$M$8),"x","")</f>
        <v/>
      </c>
      <c r="AA327" s="845"/>
      <c r="AB327" s="581"/>
    </row>
    <row r="328" spans="1:28" s="201" customFormat="1" ht="15.75" customHeight="1">
      <c r="A328" s="846" t="str">
        <f>IF(B328&lt;&gt;"",IF(AND(B328&gt;=_TM1,B328&lt;=_TM2,OR(TH!L328="1111",TH!M328="1111")),TH!D328,""),"")</f>
        <v/>
      </c>
      <c r="B328" s="36" t="str">
        <f t="shared" si="10"/>
        <v/>
      </c>
      <c r="C328" s="187"/>
      <c r="D328" s="187"/>
      <c r="E328" s="187"/>
      <c r="F328" s="188"/>
      <c r="G328" s="854"/>
      <c r="H328" s="189"/>
      <c r="I328" s="249"/>
      <c r="J328" s="249"/>
      <c r="K328" s="589"/>
      <c r="L328" s="590"/>
      <c r="M328" s="590"/>
      <c r="N328" s="38" t="str">
        <f>IF(AND('331-CT'!$E$7=TH!H328,OR(L328="331",M328="331")),"331",IF(AND(OR(L328="131",M328="131"),H328='131-CT'!$E$7),"131",""))</f>
        <v/>
      </c>
      <c r="O328" s="38" t="str">
        <f>IF(AND($B328&gt;='111'!$N$11,$B328&lt;='111'!$O$11,OR($L328=$O$7,$M328=$O$7)),"x","")</f>
        <v/>
      </c>
      <c r="P328" s="38" t="str">
        <f>IF(AND($L328=$O$7,$B328&lt;'111'!$N$11),"x","")</f>
        <v/>
      </c>
      <c r="Q328" s="38" t="str">
        <f>IF(AND($M328=$O$7,$B328&lt;'111'!$N$11),"x","")</f>
        <v/>
      </c>
      <c r="R328" s="38" t="str">
        <f>IF(ISERROR(FIND('112'!$M$9,G328,1)),"",IF((AND(FIND('112'!$M$9,G328,1)&gt;=1,$B328&gt;='112'!$N$8,$B328&lt;='112'!$O$8,OR($L328='112'!$I$6,$M328='112'!$I$6))),"x",""))</f>
        <v/>
      </c>
      <c r="S328" s="38" t="str">
        <f>IF(ISERROR(FIND('112'!$M$9,G328,1)),"",IF((AND(LEFT(G328,2)=LEFT('112'!$M$9,2),B328&lt;'112'!$N$8,$L328='112'!$I$6)),"x",""))</f>
        <v/>
      </c>
      <c r="T328" s="38" t="str">
        <f>IF(ISERROR(FIND('112'!$M$9,G328,1)),"",IF((AND(RIGHT(G328,2)=RIGHT('112'!$M$9,2),B328&lt;'112'!$N$8,$M328='112'!$I$6)),"x",""))</f>
        <v/>
      </c>
      <c r="U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38" t="str">
        <f>IF(OR(TH!L328=TH!$V$7,M328=TH!$V$7),"x","")</f>
        <v/>
      </c>
      <c r="W328" s="38" t="str">
        <f>IF(AND(B328&gt;='IN-NX'!$P$3,B328&lt;='IN-NX'!$Q$3,'IN-NX'!$D$7=D328,OR(LEFT(L328,2)="15",AND(LEFT(M328,2)&lt;&gt;"15",LEFT(M328,2)&lt;&gt;"33"))),"x","")</f>
        <v/>
      </c>
      <c r="X328" s="38" t="str">
        <f>IF(AND(OR(LEFT(TH!L328,2)="15",LEFT(TH!M328,2)="15"),'152-CT'!$J$8=TH!F328),"x","")</f>
        <v/>
      </c>
      <c r="Y328" s="38" t="str">
        <f>IF(AND(OR(LEFT(TH!L328,2)="15",LEFT(TH!M328,2)="15"),TK!$E$7=TH!F328),"x","")</f>
        <v/>
      </c>
      <c r="Z328" s="38" t="str">
        <f>IF(AND(B328&lt;=NKC!$N$8,B328&gt;=NKC!$M$8),"x","")</f>
        <v/>
      </c>
      <c r="AA328" s="845"/>
      <c r="AB328" s="581"/>
    </row>
    <row r="329" spans="1:28" s="201" customFormat="1" ht="15.75" customHeight="1">
      <c r="A329" s="846" t="str">
        <f>IF(B329&lt;&gt;"",IF(AND(B329&gt;=_TM1,B329&lt;=_TM2,OR(TH!L329="1111",TH!M329="1111")),TH!D329,""),"")</f>
        <v/>
      </c>
      <c r="B329" s="36" t="str">
        <f t="shared" si="10"/>
        <v/>
      </c>
      <c r="C329" s="187"/>
      <c r="D329" s="187"/>
      <c r="E329" s="187"/>
      <c r="F329" s="185"/>
      <c r="G329" s="854"/>
      <c r="H329" s="189"/>
      <c r="I329" s="249"/>
      <c r="J329" s="249"/>
      <c r="K329" s="589"/>
      <c r="L329" s="590"/>
      <c r="M329" s="590"/>
      <c r="N329" s="38" t="str">
        <f>IF(AND('331-CT'!$E$7=TH!H329,OR(L329="331",M329="331")),"331",IF(AND(OR(L329="131",M329="131"),H329='131-CT'!$E$7),"131",""))</f>
        <v/>
      </c>
      <c r="O329" s="38" t="str">
        <f>IF(AND($B329&gt;='111'!$N$11,$B329&lt;='111'!$O$11,OR($L329=$O$7,$M329=$O$7)),"x","")</f>
        <v/>
      </c>
      <c r="P329" s="38" t="str">
        <f>IF(AND($L329=$O$7,$B329&lt;'111'!$N$11),"x","")</f>
        <v/>
      </c>
      <c r="Q329" s="38" t="str">
        <f>IF(AND($M329=$O$7,$B329&lt;'111'!$N$11),"x","")</f>
        <v/>
      </c>
      <c r="R329" s="38" t="str">
        <f>IF(ISERROR(FIND('112'!$M$9,G329,1)),"",IF((AND(FIND('112'!$M$9,G329,1)&gt;=1,$B329&gt;='112'!$N$8,$B329&lt;='112'!$O$8,OR($L329='112'!$I$6,$M329='112'!$I$6))),"x",""))</f>
        <v/>
      </c>
      <c r="S329" s="38" t="str">
        <f>IF(ISERROR(FIND('112'!$M$9,G329,1)),"",IF((AND(LEFT(G329,2)=LEFT('112'!$M$9,2),B329&lt;'112'!$N$8,$L329='112'!$I$6)),"x",""))</f>
        <v/>
      </c>
      <c r="T329" s="38" t="str">
        <f>IF(ISERROR(FIND('112'!$M$9,G329,1)),"",IF((AND(RIGHT(G329,2)=RIGHT('112'!$M$9,2),B329&lt;'112'!$N$8,$M329='112'!$I$6)),"x",""))</f>
        <v/>
      </c>
      <c r="U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38" t="str">
        <f>IF(OR(TH!L329=TH!$V$7,M329=TH!$V$7),"x","")</f>
        <v/>
      </c>
      <c r="W329" s="38" t="str">
        <f>IF(AND(B329&gt;='IN-NX'!$P$3,B329&lt;='IN-NX'!$Q$3,'IN-NX'!$D$7=D329,OR(LEFT(L329,2)="15",AND(LEFT(M329,2)&lt;&gt;"15",LEFT(M329,2)&lt;&gt;"33"))),"x","")</f>
        <v/>
      </c>
      <c r="X329" s="38" t="str">
        <f>IF(AND(OR(LEFT(TH!L329,2)="15",LEFT(TH!M329,2)="15"),'152-CT'!$J$8=TH!F329),"x","")</f>
        <v/>
      </c>
      <c r="Y329" s="38" t="str">
        <f>IF(AND(OR(LEFT(TH!L329,2)="15",LEFT(TH!M329,2)="15"),TK!$E$7=TH!F329),"x","")</f>
        <v/>
      </c>
      <c r="Z329" s="38" t="str">
        <f>IF(AND(B329&lt;=NKC!$N$8,B329&gt;=NKC!$M$8),"x","")</f>
        <v/>
      </c>
      <c r="AA329" s="845"/>
      <c r="AB329" s="581"/>
    </row>
    <row r="330" spans="1:28" s="201" customFormat="1" ht="15.75" customHeight="1">
      <c r="A330" s="846" t="str">
        <f>IF(B330&lt;&gt;"",IF(AND(B330&gt;=_TM1,B330&lt;=_TM2,OR(TH!L330="1111",TH!M330="1111")),TH!D330,""),"")</f>
        <v/>
      </c>
      <c r="B330" s="36" t="str">
        <f t="shared" si="10"/>
        <v/>
      </c>
      <c r="C330" s="187"/>
      <c r="D330" s="187"/>
      <c r="E330" s="187"/>
      <c r="F330" s="188"/>
      <c r="G330" s="854"/>
      <c r="H330" s="189"/>
      <c r="I330" s="249"/>
      <c r="J330" s="249"/>
      <c r="K330" s="589"/>
      <c r="L330" s="590"/>
      <c r="M330" s="590"/>
      <c r="N330" s="38" t="str">
        <f>IF(AND('331-CT'!$E$7=TH!H330,OR(L330="331",M330="331")),"331",IF(AND(OR(L330="131",M330="131"),H330='131-CT'!$E$7),"131",""))</f>
        <v/>
      </c>
      <c r="O330" s="38" t="str">
        <f>IF(AND($B330&gt;='111'!$N$11,$B330&lt;='111'!$O$11,OR($L330=$O$7,$M330=$O$7)),"x","")</f>
        <v/>
      </c>
      <c r="P330" s="38" t="str">
        <f>IF(AND($L330=$O$7,$B330&lt;'111'!$N$11),"x","")</f>
        <v/>
      </c>
      <c r="Q330" s="38" t="str">
        <f>IF(AND($M330=$O$7,$B330&lt;'111'!$N$11),"x","")</f>
        <v/>
      </c>
      <c r="R330" s="38" t="str">
        <f>IF(ISERROR(FIND('112'!$M$9,G330,1)),"",IF((AND(FIND('112'!$M$9,G330,1)&gt;=1,$B330&gt;='112'!$N$8,$B330&lt;='112'!$O$8,OR($L330='112'!$I$6,$M330='112'!$I$6))),"x",""))</f>
        <v/>
      </c>
      <c r="S330" s="38" t="str">
        <f>IF(ISERROR(FIND('112'!$M$9,G330,1)),"",IF((AND(LEFT(G330,2)=LEFT('112'!$M$9,2),B330&lt;'112'!$N$8,$L330='112'!$I$6)),"x",""))</f>
        <v/>
      </c>
      <c r="T330" s="38" t="str">
        <f>IF(ISERROR(FIND('112'!$M$9,G330,1)),"",IF((AND(RIGHT(G330,2)=RIGHT('112'!$M$9,2),B330&lt;'112'!$N$8,$M330='112'!$I$6)),"x",""))</f>
        <v/>
      </c>
      <c r="U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38" t="str">
        <f>IF(OR(TH!L330=TH!$V$7,M330=TH!$V$7),"x","")</f>
        <v/>
      </c>
      <c r="W330" s="38" t="str">
        <f>IF(AND(B330&gt;='IN-NX'!$P$3,B330&lt;='IN-NX'!$Q$3,'IN-NX'!$D$7=D330,OR(LEFT(L330,2)="15",AND(LEFT(M330,2)&lt;&gt;"15",LEFT(M330,2)&lt;&gt;"33"))),"x","")</f>
        <v/>
      </c>
      <c r="X330" s="38" t="str">
        <f>IF(AND(OR(LEFT(TH!L330,2)="15",LEFT(TH!M330,2)="15"),'152-CT'!$J$8=TH!F330),"x","")</f>
        <v/>
      </c>
      <c r="Y330" s="38" t="str">
        <f>IF(AND(OR(LEFT(TH!L330,2)="15",LEFT(TH!M330,2)="15"),TK!$E$7=TH!F330),"x","")</f>
        <v/>
      </c>
      <c r="Z330" s="38" t="str">
        <f>IF(AND(B330&lt;=NKC!$N$8,B330&gt;=NKC!$M$8),"x","")</f>
        <v/>
      </c>
      <c r="AA330" s="845"/>
      <c r="AB330" s="581"/>
    </row>
    <row r="331" spans="1:28" s="201" customFormat="1" ht="15.75" customHeight="1">
      <c r="A331" s="846" t="str">
        <f>IF(B331&lt;&gt;"",IF(AND(B331&gt;=_TM1,B331&lt;=_TM2,OR(TH!L331="1111",TH!M331="1111")),TH!D331,""),"")</f>
        <v/>
      </c>
      <c r="B331" s="36" t="str">
        <f t="shared" si="10"/>
        <v/>
      </c>
      <c r="C331" s="187"/>
      <c r="D331" s="187"/>
      <c r="E331" s="187"/>
      <c r="F331" s="188"/>
      <c r="G331" s="854"/>
      <c r="H331" s="189"/>
      <c r="I331" s="249"/>
      <c r="J331" s="249"/>
      <c r="K331" s="589"/>
      <c r="L331" s="590"/>
      <c r="M331" s="590"/>
      <c r="N331" s="38" t="str">
        <f>IF(AND('331-CT'!$E$7=TH!H331,OR(L331="331",M331="331")),"331",IF(AND(OR(L331="131",M331="131"),H331='131-CT'!$E$7),"131",""))</f>
        <v/>
      </c>
      <c r="O331" s="38" t="str">
        <f>IF(AND($B331&gt;='111'!$N$11,$B331&lt;='111'!$O$11,OR($L331=$O$7,$M331=$O$7)),"x","")</f>
        <v/>
      </c>
      <c r="P331" s="38" t="str">
        <f>IF(AND($L331=$O$7,$B331&lt;'111'!$N$11),"x","")</f>
        <v/>
      </c>
      <c r="Q331" s="38" t="str">
        <f>IF(AND($M331=$O$7,$B331&lt;'111'!$N$11),"x","")</f>
        <v/>
      </c>
      <c r="R331" s="38" t="str">
        <f>IF(ISERROR(FIND('112'!$M$9,G331,1)),"",IF((AND(FIND('112'!$M$9,G331,1)&gt;=1,$B331&gt;='112'!$N$8,$B331&lt;='112'!$O$8,OR($L331='112'!$I$6,$M331='112'!$I$6))),"x",""))</f>
        <v/>
      </c>
      <c r="S331" s="38" t="str">
        <f>IF(ISERROR(FIND('112'!$M$9,G331,1)),"",IF((AND(LEFT(G331,2)=LEFT('112'!$M$9,2),B331&lt;'112'!$N$8,$L331='112'!$I$6)),"x",""))</f>
        <v/>
      </c>
      <c r="T331" s="38" t="str">
        <f>IF(ISERROR(FIND('112'!$M$9,G331,1)),"",IF((AND(RIGHT(G331,2)=RIGHT('112'!$M$9,2),B331&lt;'112'!$N$8,$M331='112'!$I$6)),"x",""))</f>
        <v/>
      </c>
      <c r="U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38" t="str">
        <f>IF(OR(TH!L331=TH!$V$7,M331=TH!$V$7),"x","")</f>
        <v/>
      </c>
      <c r="W331" s="38" t="str">
        <f>IF(AND(B331&gt;='IN-NX'!$P$3,B331&lt;='IN-NX'!$Q$3,'IN-NX'!$D$7=D331,OR(LEFT(L331,2)="15",AND(LEFT(M331,2)&lt;&gt;"15",LEFT(M331,2)&lt;&gt;"33"))),"x","")</f>
        <v/>
      </c>
      <c r="X331" s="38" t="str">
        <f>IF(AND(OR(LEFT(TH!L331,2)="15",LEFT(TH!M331,2)="15"),'152-CT'!$J$8=TH!F331),"x","")</f>
        <v/>
      </c>
      <c r="Y331" s="38" t="str">
        <f>IF(AND(OR(LEFT(TH!L331,2)="15",LEFT(TH!M331,2)="15"),TK!$E$7=TH!F331),"x","")</f>
        <v/>
      </c>
      <c r="Z331" s="38" t="str">
        <f>IF(AND(B331&lt;=NKC!$N$8,B331&gt;=NKC!$M$8),"x","")</f>
        <v/>
      </c>
      <c r="AA331" s="845"/>
      <c r="AB331" s="581"/>
    </row>
    <row r="332" spans="1:28" s="201" customFormat="1" ht="15.75" customHeight="1">
      <c r="A332" s="846" t="str">
        <f>IF(B332&lt;&gt;"",IF(AND(B332&gt;=_TM1,B332&lt;=_TM2,OR(TH!L332="1111",TH!M332="1111")),TH!D332,""),"")</f>
        <v/>
      </c>
      <c r="B332" s="36" t="str">
        <f t="shared" si="10"/>
        <v/>
      </c>
      <c r="C332" s="187"/>
      <c r="D332" s="187"/>
      <c r="E332" s="187"/>
      <c r="F332" s="188"/>
      <c r="G332" s="854"/>
      <c r="H332" s="189"/>
      <c r="I332" s="249"/>
      <c r="J332" s="249"/>
      <c r="K332" s="589"/>
      <c r="L332" s="590"/>
      <c r="M332" s="590"/>
      <c r="N332" s="38" t="str">
        <f>IF(AND('331-CT'!$E$7=TH!H332,OR(L332="331",M332="331")),"331",IF(AND(OR(L332="131",M332="131"),H332='131-CT'!$E$7),"131",""))</f>
        <v/>
      </c>
      <c r="O332" s="38" t="str">
        <f>IF(AND($B332&gt;='111'!$N$11,$B332&lt;='111'!$O$11,OR($L332=$O$7,$M332=$O$7)),"x","")</f>
        <v/>
      </c>
      <c r="P332" s="38" t="str">
        <f>IF(AND($L332=$O$7,$B332&lt;'111'!$N$11),"x","")</f>
        <v/>
      </c>
      <c r="Q332" s="38" t="str">
        <f>IF(AND($M332=$O$7,$B332&lt;'111'!$N$11),"x","")</f>
        <v/>
      </c>
      <c r="R332" s="38" t="str">
        <f>IF(ISERROR(FIND('112'!$M$9,G332,1)),"",IF((AND(FIND('112'!$M$9,G332,1)&gt;=1,$B332&gt;='112'!$N$8,$B332&lt;='112'!$O$8,OR($L332='112'!$I$6,$M332='112'!$I$6))),"x",""))</f>
        <v/>
      </c>
      <c r="S332" s="38" t="str">
        <f>IF(ISERROR(FIND('112'!$M$9,G332,1)),"",IF((AND(LEFT(G332,2)=LEFT('112'!$M$9,2),B332&lt;'112'!$N$8,$L332='112'!$I$6)),"x",""))</f>
        <v/>
      </c>
      <c r="T332" s="38" t="str">
        <f>IF(ISERROR(FIND('112'!$M$9,G332,1)),"",IF((AND(RIGHT(G332,2)=RIGHT('112'!$M$9,2),B332&lt;'112'!$N$8,$M332='112'!$I$6)),"x",""))</f>
        <v/>
      </c>
      <c r="U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38" t="str">
        <f>IF(OR(TH!L332=TH!$V$7,M332=TH!$V$7),"x","")</f>
        <v/>
      </c>
      <c r="W332" s="38" t="str">
        <f>IF(AND(B332&gt;='IN-NX'!$P$3,B332&lt;='IN-NX'!$Q$3,'IN-NX'!$D$7=D332,OR(LEFT(L332,2)="15",AND(LEFT(M332,2)&lt;&gt;"15",LEFT(M332,2)&lt;&gt;"33"))),"x","")</f>
        <v/>
      </c>
      <c r="X332" s="38" t="str">
        <f>IF(AND(OR(LEFT(TH!L332,2)="15",LEFT(TH!M332,2)="15"),'152-CT'!$J$8=TH!F332),"x","")</f>
        <v/>
      </c>
      <c r="Y332" s="38" t="str">
        <f>IF(AND(OR(LEFT(TH!L332,2)="15",LEFT(TH!M332,2)="15"),TK!$E$7=TH!F332),"x","")</f>
        <v/>
      </c>
      <c r="Z332" s="38" t="str">
        <f>IF(AND(B332&lt;=NKC!$N$8,B332&gt;=NKC!$M$8),"x","")</f>
        <v/>
      </c>
      <c r="AA332" s="845"/>
      <c r="AB332" s="581"/>
    </row>
    <row r="333" spans="1:28" s="201" customFormat="1" ht="15.75" customHeight="1">
      <c r="A333" s="846" t="str">
        <f>IF(B333&lt;&gt;"",IF(AND(B333&gt;=_TM1,B333&lt;=_TM2,OR(TH!L333="1111",TH!M333="1111")),TH!D333,""),"")</f>
        <v/>
      </c>
      <c r="B333" s="36" t="str">
        <f t="shared" si="10"/>
        <v/>
      </c>
      <c r="C333" s="187"/>
      <c r="D333" s="187"/>
      <c r="E333" s="187"/>
      <c r="F333" s="188"/>
      <c r="G333" s="854"/>
      <c r="H333" s="189"/>
      <c r="I333" s="249"/>
      <c r="J333" s="249"/>
      <c r="K333" s="589"/>
      <c r="L333" s="590"/>
      <c r="M333" s="590"/>
      <c r="N333" s="38" t="str">
        <f>IF(AND('331-CT'!$E$7=TH!H333,OR(L333="331",M333="331")),"331",IF(AND(OR(L333="131",M333="131"),H333='131-CT'!$E$7),"131",""))</f>
        <v/>
      </c>
      <c r="O333" s="38" t="str">
        <f>IF(AND($B333&gt;='111'!$N$11,$B333&lt;='111'!$O$11,OR($L333=$O$7,$M333=$O$7)),"x","")</f>
        <v/>
      </c>
      <c r="P333" s="38" t="str">
        <f>IF(AND($L333=$O$7,$B333&lt;'111'!$N$11),"x","")</f>
        <v/>
      </c>
      <c r="Q333" s="38" t="str">
        <f>IF(AND($M333=$O$7,$B333&lt;'111'!$N$11),"x","")</f>
        <v/>
      </c>
      <c r="R333" s="38" t="str">
        <f>IF(ISERROR(FIND('112'!$M$9,G333,1)),"",IF((AND(FIND('112'!$M$9,G333,1)&gt;=1,$B333&gt;='112'!$N$8,$B333&lt;='112'!$O$8,OR($L333='112'!$I$6,$M333='112'!$I$6))),"x",""))</f>
        <v/>
      </c>
      <c r="S333" s="38" t="str">
        <f>IF(ISERROR(FIND('112'!$M$9,G333,1)),"",IF((AND(LEFT(G333,2)=LEFT('112'!$M$9,2),B333&lt;'112'!$N$8,$L333='112'!$I$6)),"x",""))</f>
        <v/>
      </c>
      <c r="T333" s="38" t="str">
        <f>IF(ISERROR(FIND('112'!$M$9,G333,1)),"",IF((AND(RIGHT(G333,2)=RIGHT('112'!$M$9,2),B333&lt;'112'!$N$8,$M333='112'!$I$6)),"x",""))</f>
        <v/>
      </c>
      <c r="U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38" t="str">
        <f>IF(OR(TH!L333=TH!$V$7,M333=TH!$V$7),"x","")</f>
        <v/>
      </c>
      <c r="W333" s="38" t="str">
        <f>IF(AND(B333&gt;='IN-NX'!$P$3,B333&lt;='IN-NX'!$Q$3,'IN-NX'!$D$7=D333,OR(LEFT(L333,2)="15",AND(LEFT(M333,2)&lt;&gt;"15",LEFT(M333,2)&lt;&gt;"33"))),"x","")</f>
        <v/>
      </c>
      <c r="X333" s="38" t="str">
        <f>IF(AND(OR(LEFT(TH!L333,2)="15",LEFT(TH!M333,2)="15"),'152-CT'!$J$8=TH!F333),"x","")</f>
        <v/>
      </c>
      <c r="Y333" s="38" t="str">
        <f>IF(AND(OR(LEFT(TH!L333,2)="15",LEFT(TH!M333,2)="15"),TK!$E$7=TH!F333),"x","")</f>
        <v/>
      </c>
      <c r="Z333" s="38" t="str">
        <f>IF(AND(B333&lt;=NKC!$N$8,B333&gt;=NKC!$M$8),"x","")</f>
        <v/>
      </c>
      <c r="AA333" s="845"/>
      <c r="AB333" s="581"/>
    </row>
    <row r="334" spans="1:28" s="201" customFormat="1" ht="15.75" customHeight="1">
      <c r="A334" s="846" t="str">
        <f>IF(B334&lt;&gt;"",IF(AND(B334&gt;=_TM1,B334&lt;=_TM2,OR(TH!L334="1111",TH!M334="1111")),TH!D334,""),"")</f>
        <v/>
      </c>
      <c r="B334" s="36" t="str">
        <f t="shared" si="10"/>
        <v/>
      </c>
      <c r="C334" s="187"/>
      <c r="D334" s="187"/>
      <c r="E334" s="187"/>
      <c r="F334" s="188"/>
      <c r="G334" s="854"/>
      <c r="H334" s="189"/>
      <c r="I334" s="249"/>
      <c r="J334" s="249"/>
      <c r="K334" s="589"/>
      <c r="L334" s="590"/>
      <c r="M334" s="590"/>
      <c r="N334" s="38" t="str">
        <f>IF(AND('331-CT'!$E$7=TH!H334,OR(L334="331",M334="331")),"331",IF(AND(OR(L334="131",M334="131"),H334='131-CT'!$E$7),"131",""))</f>
        <v/>
      </c>
      <c r="O334" s="38" t="str">
        <f>IF(AND($B334&gt;='111'!$N$11,$B334&lt;='111'!$O$11,OR($L334=$O$7,$M334=$O$7)),"x","")</f>
        <v/>
      </c>
      <c r="P334" s="38" t="str">
        <f>IF(AND($L334=$O$7,$B334&lt;'111'!$N$11),"x","")</f>
        <v/>
      </c>
      <c r="Q334" s="38" t="str">
        <f>IF(AND($M334=$O$7,$B334&lt;'111'!$N$11),"x","")</f>
        <v/>
      </c>
      <c r="R334" s="38" t="str">
        <f>IF(ISERROR(FIND('112'!$M$9,G334,1)),"",IF((AND(FIND('112'!$M$9,G334,1)&gt;=1,$B334&gt;='112'!$N$8,$B334&lt;='112'!$O$8,OR($L334='112'!$I$6,$M334='112'!$I$6))),"x",""))</f>
        <v/>
      </c>
      <c r="S334" s="38" t="str">
        <f>IF(ISERROR(FIND('112'!$M$9,G334,1)),"",IF((AND(LEFT(G334,2)=LEFT('112'!$M$9,2),B334&lt;'112'!$N$8,$L334='112'!$I$6)),"x",""))</f>
        <v/>
      </c>
      <c r="T334" s="38" t="str">
        <f>IF(ISERROR(FIND('112'!$M$9,G334,1)),"",IF((AND(RIGHT(G334,2)=RIGHT('112'!$M$9,2),B334&lt;'112'!$N$8,$M334='112'!$I$6)),"x",""))</f>
        <v/>
      </c>
      <c r="U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38" t="str">
        <f>IF(OR(TH!L334=TH!$V$7,M334=TH!$V$7),"x","")</f>
        <v/>
      </c>
      <c r="W334" s="38" t="str">
        <f>IF(AND(B334&gt;='IN-NX'!$P$3,B334&lt;='IN-NX'!$Q$3,'IN-NX'!$D$7=D334,OR(LEFT(L334,2)="15",AND(LEFT(M334,2)&lt;&gt;"15",LEFT(M334,2)&lt;&gt;"33"))),"x","")</f>
        <v/>
      </c>
      <c r="X334" s="38" t="str">
        <f>IF(AND(OR(LEFT(TH!L334,2)="15",LEFT(TH!M334,2)="15"),'152-CT'!$J$8=TH!F334),"x","")</f>
        <v/>
      </c>
      <c r="Y334" s="38" t="str">
        <f>IF(AND(OR(LEFT(TH!L334,2)="15",LEFT(TH!M334,2)="15"),TK!$E$7=TH!F334),"x","")</f>
        <v/>
      </c>
      <c r="Z334" s="38" t="str">
        <f>IF(AND(B334&lt;=NKC!$N$8,B334&gt;=NKC!$M$8),"x","")</f>
        <v/>
      </c>
      <c r="AA334" s="845"/>
      <c r="AB334" s="581"/>
    </row>
    <row r="335" spans="1:28" s="201" customFormat="1" ht="15.75" customHeight="1">
      <c r="A335" s="846" t="str">
        <f>IF(B335&lt;&gt;"",IF(AND(B335&gt;=_TM1,B335&lt;=_TM2,OR(TH!L335="1111",TH!M335="1111")),TH!D335,""),"")</f>
        <v/>
      </c>
      <c r="B335" s="36" t="str">
        <f t="shared" si="10"/>
        <v/>
      </c>
      <c r="C335" s="187"/>
      <c r="D335" s="187"/>
      <c r="E335" s="187"/>
      <c r="F335" s="188"/>
      <c r="G335" s="854"/>
      <c r="H335" s="189"/>
      <c r="I335" s="249"/>
      <c r="J335" s="249"/>
      <c r="K335" s="589"/>
      <c r="L335" s="590"/>
      <c r="M335" s="590"/>
      <c r="N335" s="38" t="str">
        <f>IF(AND('331-CT'!$E$7=TH!H335,OR(L335="331",M335="331")),"331",IF(AND(OR(L335="131",M335="131"),H335='131-CT'!$E$7),"131",""))</f>
        <v/>
      </c>
      <c r="O335" s="38" t="str">
        <f>IF(AND($B335&gt;='111'!$N$11,$B335&lt;='111'!$O$11,OR($L335=$O$7,$M335=$O$7)),"x","")</f>
        <v/>
      </c>
      <c r="P335" s="38" t="str">
        <f>IF(AND($L335=$O$7,$B335&lt;'111'!$N$11),"x","")</f>
        <v/>
      </c>
      <c r="Q335" s="38" t="str">
        <f>IF(AND($M335=$O$7,$B335&lt;'111'!$N$11),"x","")</f>
        <v/>
      </c>
      <c r="R335" s="38" t="str">
        <f>IF(ISERROR(FIND('112'!$M$9,G335,1)),"",IF((AND(FIND('112'!$M$9,G335,1)&gt;=1,$B335&gt;='112'!$N$8,$B335&lt;='112'!$O$8,OR($L335='112'!$I$6,$M335='112'!$I$6))),"x",""))</f>
        <v/>
      </c>
      <c r="S335" s="38" t="str">
        <f>IF(ISERROR(FIND('112'!$M$9,G335,1)),"",IF((AND(LEFT(G335,2)=LEFT('112'!$M$9,2),B335&lt;'112'!$N$8,$L335='112'!$I$6)),"x",""))</f>
        <v/>
      </c>
      <c r="T335" s="38" t="str">
        <f>IF(ISERROR(FIND('112'!$M$9,G335,1)),"",IF((AND(RIGHT(G335,2)=RIGHT('112'!$M$9,2),B335&lt;'112'!$N$8,$M335='112'!$I$6)),"x",""))</f>
        <v/>
      </c>
      <c r="U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38" t="str">
        <f>IF(OR(TH!L335=TH!$V$7,M335=TH!$V$7),"x","")</f>
        <v/>
      </c>
      <c r="W335" s="38" t="str">
        <f>IF(AND(B335&gt;='IN-NX'!$P$3,B335&lt;='IN-NX'!$Q$3,'IN-NX'!$D$7=D335,OR(LEFT(L335,2)="15",AND(LEFT(M335,2)&lt;&gt;"15",LEFT(M335,2)&lt;&gt;"33"))),"x","")</f>
        <v/>
      </c>
      <c r="X335" s="38" t="str">
        <f>IF(AND(OR(LEFT(TH!L335,2)="15",LEFT(TH!M335,2)="15"),'152-CT'!$J$8=TH!F335),"x","")</f>
        <v/>
      </c>
      <c r="Y335" s="38" t="str">
        <f>IF(AND(OR(LEFT(TH!L335,2)="15",LEFT(TH!M335,2)="15"),TK!$E$7=TH!F335),"x","")</f>
        <v/>
      </c>
      <c r="Z335" s="38" t="str">
        <f>IF(AND(B335&lt;=NKC!$N$8,B335&gt;=NKC!$M$8),"x","")</f>
        <v/>
      </c>
      <c r="AA335" s="845"/>
      <c r="AB335" s="581"/>
    </row>
    <row r="336" spans="1:28" s="201" customFormat="1" ht="15.75" customHeight="1">
      <c r="A336" s="846" t="str">
        <f>IF(B336&lt;&gt;"",IF(AND(B336&gt;=_TM1,B336&lt;=_TM2,OR(TH!L336="1111",TH!M336="1111")),TH!D336,""),"")</f>
        <v/>
      </c>
      <c r="B336" s="36" t="str">
        <f t="shared" si="10"/>
        <v/>
      </c>
      <c r="C336" s="187"/>
      <c r="D336" s="187"/>
      <c r="E336" s="187"/>
      <c r="F336" s="188"/>
      <c r="G336" s="854"/>
      <c r="H336" s="189"/>
      <c r="I336" s="249"/>
      <c r="J336" s="249"/>
      <c r="K336" s="589"/>
      <c r="L336" s="590"/>
      <c r="M336" s="590"/>
      <c r="N336" s="38" t="str">
        <f>IF(AND('331-CT'!$E$7=TH!H336,OR(L336="331",M336="331")),"331",IF(AND(OR(L336="131",M336="131"),H336='131-CT'!$E$7),"131",""))</f>
        <v/>
      </c>
      <c r="O336" s="38" t="str">
        <f>IF(AND($B336&gt;='111'!$N$11,$B336&lt;='111'!$O$11,OR($L336=$O$7,$M336=$O$7)),"x","")</f>
        <v/>
      </c>
      <c r="P336" s="38" t="str">
        <f>IF(AND($L336=$O$7,$B336&lt;'111'!$N$11),"x","")</f>
        <v/>
      </c>
      <c r="Q336" s="38" t="str">
        <f>IF(AND($M336=$O$7,$B336&lt;'111'!$N$11),"x","")</f>
        <v/>
      </c>
      <c r="R336" s="38" t="str">
        <f>IF(ISERROR(FIND('112'!$M$9,G336,1)),"",IF((AND(FIND('112'!$M$9,G336,1)&gt;=1,$B336&gt;='112'!$N$8,$B336&lt;='112'!$O$8,OR($L336='112'!$I$6,$M336='112'!$I$6))),"x",""))</f>
        <v/>
      </c>
      <c r="S336" s="38" t="str">
        <f>IF(ISERROR(FIND('112'!$M$9,G336,1)),"",IF((AND(LEFT(G336,2)=LEFT('112'!$M$9,2),B336&lt;'112'!$N$8,$L336='112'!$I$6)),"x",""))</f>
        <v/>
      </c>
      <c r="T336" s="38" t="str">
        <f>IF(ISERROR(FIND('112'!$M$9,G336,1)),"",IF((AND(RIGHT(G336,2)=RIGHT('112'!$M$9,2),B336&lt;'112'!$N$8,$M336='112'!$I$6)),"x",""))</f>
        <v/>
      </c>
      <c r="U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38" t="str">
        <f>IF(OR(TH!L336=TH!$V$7,M336=TH!$V$7),"x","")</f>
        <v/>
      </c>
      <c r="W336" s="38" t="str">
        <f>IF(AND(B336&gt;='IN-NX'!$P$3,B336&lt;='IN-NX'!$Q$3,'IN-NX'!$D$7=D336,OR(LEFT(L336,2)="15",AND(LEFT(M336,2)&lt;&gt;"15",LEFT(M336,2)&lt;&gt;"33"))),"x","")</f>
        <v/>
      </c>
      <c r="X336" s="38" t="str">
        <f>IF(AND(OR(LEFT(TH!L336,2)="15",LEFT(TH!M336,2)="15"),'152-CT'!$J$8=TH!F336),"x","")</f>
        <v/>
      </c>
      <c r="Y336" s="38" t="str">
        <f>IF(AND(OR(LEFT(TH!L336,2)="15",LEFT(TH!M336,2)="15"),TK!$E$7=TH!F336),"x","")</f>
        <v/>
      </c>
      <c r="Z336" s="38" t="str">
        <f>IF(AND(B336&lt;=NKC!$N$8,B336&gt;=NKC!$M$8),"x","")</f>
        <v/>
      </c>
      <c r="AA336" s="845"/>
      <c r="AB336" s="581"/>
    </row>
    <row r="337" spans="1:28" s="201" customFormat="1" ht="15.75" customHeight="1">
      <c r="A337" s="846" t="str">
        <f>IF(B337&lt;&gt;"",IF(AND(B337&gt;=_TM1,B337&lt;=_TM2,OR(TH!L337="1111",TH!M337="1111")),TH!D337,""),"")</f>
        <v/>
      </c>
      <c r="B337" s="36" t="str">
        <f t="shared" si="10"/>
        <v/>
      </c>
      <c r="C337" s="187"/>
      <c r="D337" s="187"/>
      <c r="E337" s="187"/>
      <c r="F337" s="188"/>
      <c r="G337" s="854"/>
      <c r="H337" s="189"/>
      <c r="I337" s="250"/>
      <c r="J337" s="250"/>
      <c r="K337" s="589"/>
      <c r="L337" s="590"/>
      <c r="M337" s="590"/>
      <c r="N337" s="38" t="str">
        <f>IF(AND('331-CT'!$E$7=TH!H337,OR(L337="331",M337="331")),"331",IF(AND(OR(L337="131",M337="131"),H337='131-CT'!$E$7),"131",""))</f>
        <v/>
      </c>
      <c r="O337" s="38" t="str">
        <f>IF(AND($B337&gt;='111'!$N$11,$B337&lt;='111'!$O$11,OR($L337=$O$7,$M337=$O$7)),"x","")</f>
        <v/>
      </c>
      <c r="P337" s="38" t="str">
        <f>IF(AND($L337=$O$7,$B337&lt;'111'!$N$11),"x","")</f>
        <v/>
      </c>
      <c r="Q337" s="38" t="str">
        <f>IF(AND($M337=$O$7,$B337&lt;'111'!$N$11),"x","")</f>
        <v/>
      </c>
      <c r="R337" s="38" t="str">
        <f>IF(ISERROR(FIND('112'!$M$9,G337,1)),"",IF((AND(FIND('112'!$M$9,G337,1)&gt;=1,$B337&gt;='112'!$N$8,$B337&lt;='112'!$O$8,OR($L337='112'!$I$6,$M337='112'!$I$6))),"x",""))</f>
        <v/>
      </c>
      <c r="S337" s="38" t="str">
        <f>IF(ISERROR(FIND('112'!$M$9,G337,1)),"",IF((AND(LEFT(G337,2)=LEFT('112'!$M$9,2),B337&lt;'112'!$N$8,$L337='112'!$I$6)),"x",""))</f>
        <v/>
      </c>
      <c r="T337" s="38" t="str">
        <f>IF(ISERROR(FIND('112'!$M$9,G337,1)),"",IF((AND(RIGHT(G337,2)=RIGHT('112'!$M$9,2),B337&lt;'112'!$N$8,$M337='112'!$I$6)),"x",""))</f>
        <v/>
      </c>
      <c r="U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38" t="str">
        <f>IF(OR(TH!L337=TH!$V$7,M337=TH!$V$7),"x","")</f>
        <v/>
      </c>
      <c r="W337" s="38" t="str">
        <f>IF(AND(B337&gt;='IN-NX'!$P$3,B337&lt;='IN-NX'!$Q$3,'IN-NX'!$D$7=D337,OR(LEFT(L337,2)="15",AND(LEFT(M337,2)&lt;&gt;"15",LEFT(M337,2)&lt;&gt;"33"))),"x","")</f>
        <v/>
      </c>
      <c r="X337" s="38" t="str">
        <f>IF(AND(OR(LEFT(TH!L337,2)="15",LEFT(TH!M337,2)="15"),'152-CT'!$J$8=TH!F337),"x","")</f>
        <v/>
      </c>
      <c r="Y337" s="38" t="str">
        <f>IF(AND(OR(LEFT(TH!L337,2)="15",LEFT(TH!M337,2)="15"),TK!$E$7=TH!F337),"x","")</f>
        <v/>
      </c>
      <c r="Z337" s="38" t="str">
        <f>IF(AND(B337&lt;=NKC!$N$8,B337&gt;=NKC!$M$8),"x","")</f>
        <v/>
      </c>
      <c r="AA337" s="845"/>
      <c r="AB337" s="581"/>
    </row>
    <row r="338" spans="1:28" s="201" customFormat="1" ht="15.75" customHeight="1">
      <c r="A338" s="846" t="str">
        <f>IF(B338&lt;&gt;"",IF(AND(B338&gt;=_TM1,B338&lt;=_TM2,OR(TH!L338="1111",TH!M338="1111")),TH!D338,""),"")</f>
        <v/>
      </c>
      <c r="B338" s="36" t="str">
        <f t="shared" si="10"/>
        <v/>
      </c>
      <c r="C338" s="187"/>
      <c r="D338" s="187"/>
      <c r="E338" s="187"/>
      <c r="F338" s="188"/>
      <c r="G338" s="854"/>
      <c r="H338" s="189"/>
      <c r="I338" s="249"/>
      <c r="J338" s="249"/>
      <c r="K338" s="589"/>
      <c r="L338" s="590"/>
      <c r="M338" s="590"/>
      <c r="N338" s="38" t="str">
        <f>IF(AND('331-CT'!$E$7=TH!H338,OR(L338="331",M338="331")),"331",IF(AND(OR(L338="131",M338="131"),H338='131-CT'!$E$7),"131",""))</f>
        <v/>
      </c>
      <c r="O338" s="38" t="str">
        <f>IF(AND($B338&gt;='111'!$N$11,$B338&lt;='111'!$O$11,OR($L338=$O$7,$M338=$O$7)),"x","")</f>
        <v/>
      </c>
      <c r="P338" s="38" t="str">
        <f>IF(AND($L338=$O$7,$B338&lt;'111'!$N$11),"x","")</f>
        <v/>
      </c>
      <c r="Q338" s="38" t="str">
        <f>IF(AND($M338=$O$7,$B338&lt;'111'!$N$11),"x","")</f>
        <v/>
      </c>
      <c r="R338" s="38" t="str">
        <f>IF(ISERROR(FIND('112'!$M$9,G338,1)),"",IF((AND(FIND('112'!$M$9,G338,1)&gt;=1,$B338&gt;='112'!$N$8,$B338&lt;='112'!$O$8,OR($L338='112'!$I$6,$M338='112'!$I$6))),"x",""))</f>
        <v/>
      </c>
      <c r="S338" s="38" t="str">
        <f>IF(ISERROR(FIND('112'!$M$9,G338,1)),"",IF((AND(LEFT(G338,2)=LEFT('112'!$M$9,2),B338&lt;'112'!$N$8,$L338='112'!$I$6)),"x",""))</f>
        <v/>
      </c>
      <c r="T338" s="38" t="str">
        <f>IF(ISERROR(FIND('112'!$M$9,G338,1)),"",IF((AND(RIGHT(G338,2)=RIGHT('112'!$M$9,2),B338&lt;'112'!$N$8,$M338='112'!$I$6)),"x",""))</f>
        <v/>
      </c>
      <c r="U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38" t="str">
        <f>IF(OR(TH!L338=TH!$V$7,M338=TH!$V$7),"x","")</f>
        <v/>
      </c>
      <c r="W338" s="38" t="str">
        <f>IF(AND(B338&gt;='IN-NX'!$P$3,B338&lt;='IN-NX'!$Q$3,'IN-NX'!$D$7=D338,OR(LEFT(L338,2)="15",AND(LEFT(M338,2)&lt;&gt;"15",LEFT(M338,2)&lt;&gt;"33"))),"x","")</f>
        <v/>
      </c>
      <c r="X338" s="38" t="str">
        <f>IF(AND(OR(LEFT(TH!L338,2)="15",LEFT(TH!M338,2)="15"),'152-CT'!$J$8=TH!F338),"x","")</f>
        <v/>
      </c>
      <c r="Y338" s="38" t="str">
        <f>IF(AND(OR(LEFT(TH!L338,2)="15",LEFT(TH!M338,2)="15"),TK!$E$7=TH!F338),"x","")</f>
        <v/>
      </c>
      <c r="Z338" s="38" t="str">
        <f>IF(AND(B338&lt;=NKC!$N$8,B338&gt;=NKC!$M$8),"x","")</f>
        <v/>
      </c>
      <c r="AA338" s="845"/>
      <c r="AB338" s="581"/>
    </row>
    <row r="339" spans="1:28" s="201" customFormat="1" ht="15.75" customHeight="1">
      <c r="A339" s="846" t="str">
        <f>IF(B339&lt;&gt;"",IF(AND(B339&gt;=_TM1,B339&lt;=_TM2,OR(TH!L339="1111",TH!M339="1111")),TH!D339,""),"")</f>
        <v/>
      </c>
      <c r="B339" s="36" t="str">
        <f t="shared" si="10"/>
        <v/>
      </c>
      <c r="C339" s="187"/>
      <c r="D339" s="187"/>
      <c r="E339" s="187"/>
      <c r="F339" s="188"/>
      <c r="G339" s="854"/>
      <c r="H339" s="189"/>
      <c r="I339" s="249"/>
      <c r="J339" s="249"/>
      <c r="K339" s="589"/>
      <c r="L339" s="590"/>
      <c r="M339" s="590"/>
      <c r="N339" s="38" t="str">
        <f>IF(AND('331-CT'!$E$7=TH!H339,OR(L339="331",M339="331")),"331",IF(AND(OR(L339="131",M339="131"),H339='131-CT'!$E$7),"131",""))</f>
        <v/>
      </c>
      <c r="O339" s="38" t="str">
        <f>IF(AND($B339&gt;='111'!$N$11,$B339&lt;='111'!$O$11,OR($L339=$O$7,$M339=$O$7)),"x","")</f>
        <v/>
      </c>
      <c r="P339" s="38" t="str">
        <f>IF(AND($L339=$O$7,$B339&lt;'111'!$N$11),"x","")</f>
        <v/>
      </c>
      <c r="Q339" s="38" t="str">
        <f>IF(AND($M339=$O$7,$B339&lt;'111'!$N$11),"x","")</f>
        <v/>
      </c>
      <c r="R339" s="38" t="str">
        <f>IF(ISERROR(FIND('112'!$M$9,G339,1)),"",IF((AND(FIND('112'!$M$9,G339,1)&gt;=1,$B339&gt;='112'!$N$8,$B339&lt;='112'!$O$8,OR($L339='112'!$I$6,$M339='112'!$I$6))),"x",""))</f>
        <v/>
      </c>
      <c r="S339" s="38" t="str">
        <f>IF(ISERROR(FIND('112'!$M$9,G339,1)),"",IF((AND(LEFT(G339,2)=LEFT('112'!$M$9,2),B339&lt;'112'!$N$8,$L339='112'!$I$6)),"x",""))</f>
        <v/>
      </c>
      <c r="T339" s="38" t="str">
        <f>IF(ISERROR(FIND('112'!$M$9,G339,1)),"",IF((AND(RIGHT(G339,2)=RIGHT('112'!$M$9,2),B339&lt;'112'!$N$8,$M339='112'!$I$6)),"x",""))</f>
        <v/>
      </c>
      <c r="U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38" t="str">
        <f>IF(OR(TH!L339=TH!$V$7,M339=TH!$V$7),"x","")</f>
        <v/>
      </c>
      <c r="W339" s="38" t="str">
        <f>IF(AND(B339&gt;='IN-NX'!$P$3,B339&lt;='IN-NX'!$Q$3,'IN-NX'!$D$7=D339,OR(LEFT(L339,2)="15",AND(LEFT(M339,2)&lt;&gt;"15",LEFT(M339,2)&lt;&gt;"33"))),"x","")</f>
        <v/>
      </c>
      <c r="X339" s="38" t="str">
        <f>IF(AND(OR(LEFT(TH!L339,2)="15",LEFT(TH!M339,2)="15"),'152-CT'!$J$8=TH!F339),"x","")</f>
        <v/>
      </c>
      <c r="Y339" s="38" t="str">
        <f>IF(AND(OR(LEFT(TH!L339,2)="15",LEFT(TH!M339,2)="15"),TK!$E$7=TH!F339),"x","")</f>
        <v/>
      </c>
      <c r="Z339" s="38" t="str">
        <f>IF(AND(B339&lt;=NKC!$N$8,B339&gt;=NKC!$M$8),"x","")</f>
        <v/>
      </c>
      <c r="AA339" s="845"/>
      <c r="AB339" s="581"/>
    </row>
    <row r="340" spans="1:28" s="201" customFormat="1" ht="15.75" customHeight="1">
      <c r="A340" s="846" t="str">
        <f>IF(B340&lt;&gt;"",IF(AND(B340&gt;=_TM1,B340&lt;=_TM2,OR(TH!L340="1111",TH!M340="1111")),TH!D340,""),"")</f>
        <v/>
      </c>
      <c r="B340" s="36" t="str">
        <f t="shared" si="10"/>
        <v/>
      </c>
      <c r="C340" s="187"/>
      <c r="D340" s="187"/>
      <c r="E340" s="187"/>
      <c r="F340" s="188"/>
      <c r="G340" s="854"/>
      <c r="H340" s="189"/>
      <c r="I340" s="249"/>
      <c r="J340" s="249"/>
      <c r="K340" s="589"/>
      <c r="L340" s="590"/>
      <c r="M340" s="590"/>
      <c r="N340" s="38" t="str">
        <f>IF(AND('331-CT'!$E$7=TH!H340,OR(L340="331",M340="331")),"331",IF(AND(OR(L340="131",M340="131"),H340='131-CT'!$E$7),"131",""))</f>
        <v/>
      </c>
      <c r="O340" s="38" t="str">
        <f>IF(AND($B340&gt;='111'!$N$11,$B340&lt;='111'!$O$11,OR($L340=$O$7,$M340=$O$7)),"x","")</f>
        <v/>
      </c>
      <c r="P340" s="38" t="str">
        <f>IF(AND($L340=$O$7,$B340&lt;'111'!$N$11),"x","")</f>
        <v/>
      </c>
      <c r="Q340" s="38" t="str">
        <f>IF(AND($M340=$O$7,$B340&lt;'111'!$N$11),"x","")</f>
        <v/>
      </c>
      <c r="R340" s="38" t="str">
        <f>IF(ISERROR(FIND('112'!$M$9,G340,1)),"",IF((AND(FIND('112'!$M$9,G340,1)&gt;=1,$B340&gt;='112'!$N$8,$B340&lt;='112'!$O$8,OR($L340='112'!$I$6,$M340='112'!$I$6))),"x",""))</f>
        <v/>
      </c>
      <c r="S340" s="38" t="str">
        <f>IF(ISERROR(FIND('112'!$M$9,G340,1)),"",IF((AND(LEFT(G340,2)=LEFT('112'!$M$9,2),B340&lt;'112'!$N$8,$L340='112'!$I$6)),"x",""))</f>
        <v/>
      </c>
      <c r="T340" s="38" t="str">
        <f>IF(ISERROR(FIND('112'!$M$9,G340,1)),"",IF((AND(RIGHT(G340,2)=RIGHT('112'!$M$9,2),B340&lt;'112'!$N$8,$M340='112'!$I$6)),"x",""))</f>
        <v/>
      </c>
      <c r="U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38" t="str">
        <f>IF(OR(TH!L340=TH!$V$7,M340=TH!$V$7),"x","")</f>
        <v/>
      </c>
      <c r="W340" s="38" t="str">
        <f>IF(AND(B340&gt;='IN-NX'!$P$3,B340&lt;='IN-NX'!$Q$3,'IN-NX'!$D$7=D340,OR(LEFT(L340,2)="15",AND(LEFT(M340,2)&lt;&gt;"15",LEFT(M340,2)&lt;&gt;"33"))),"x","")</f>
        <v/>
      </c>
      <c r="X340" s="38" t="str">
        <f>IF(AND(OR(LEFT(TH!L340,2)="15",LEFT(TH!M340,2)="15"),'152-CT'!$J$8=TH!F340),"x","")</f>
        <v/>
      </c>
      <c r="Y340" s="38" t="str">
        <f>IF(AND(OR(LEFT(TH!L340,2)="15",LEFT(TH!M340,2)="15"),TK!$E$7=TH!F340),"x","")</f>
        <v/>
      </c>
      <c r="Z340" s="38" t="str">
        <f>IF(AND(B340&lt;=NKC!$N$8,B340&gt;=NKC!$M$8),"x","")</f>
        <v/>
      </c>
      <c r="AA340" s="845"/>
      <c r="AB340" s="581"/>
    </row>
    <row r="341" spans="1:28" s="201" customFormat="1" ht="15.75" customHeight="1">
      <c r="A341" s="846" t="str">
        <f>IF(B341&lt;&gt;"",IF(AND(B341&gt;=_TM1,B341&lt;=_TM2,OR(TH!L341="1111",TH!M341="1111")),TH!D341,""),"")</f>
        <v/>
      </c>
      <c r="B341" s="36" t="str">
        <f t="shared" si="10"/>
        <v/>
      </c>
      <c r="C341" s="187"/>
      <c r="D341" s="187"/>
      <c r="E341" s="187"/>
      <c r="F341" s="188"/>
      <c r="G341" s="854"/>
      <c r="H341" s="189"/>
      <c r="I341" s="249"/>
      <c r="J341" s="249"/>
      <c r="K341" s="589"/>
      <c r="L341" s="590"/>
      <c r="M341" s="590"/>
      <c r="N341" s="38" t="str">
        <f>IF(AND('331-CT'!$E$7=TH!H341,OR(L341="331",M341="331")),"331",IF(AND(OR(L341="131",M341="131"),H341='131-CT'!$E$7),"131",""))</f>
        <v/>
      </c>
      <c r="O341" s="38" t="str">
        <f>IF(AND($B341&gt;='111'!$N$11,$B341&lt;='111'!$O$11,OR($L341=$O$7,$M341=$O$7)),"x","")</f>
        <v/>
      </c>
      <c r="P341" s="38" t="str">
        <f>IF(AND($L341=$O$7,$B341&lt;'111'!$N$11),"x","")</f>
        <v/>
      </c>
      <c r="Q341" s="38" t="str">
        <f>IF(AND($M341=$O$7,$B341&lt;'111'!$N$11),"x","")</f>
        <v/>
      </c>
      <c r="R341" s="38" t="str">
        <f>IF(ISERROR(FIND('112'!$M$9,G341,1)),"",IF((AND(FIND('112'!$M$9,G341,1)&gt;=1,$B341&gt;='112'!$N$8,$B341&lt;='112'!$O$8,OR($L341='112'!$I$6,$M341='112'!$I$6))),"x",""))</f>
        <v/>
      </c>
      <c r="S341" s="38" t="str">
        <f>IF(ISERROR(FIND('112'!$M$9,G341,1)),"",IF((AND(LEFT(G341,2)=LEFT('112'!$M$9,2),B341&lt;'112'!$N$8,$L341='112'!$I$6)),"x",""))</f>
        <v/>
      </c>
      <c r="T341" s="38" t="str">
        <f>IF(ISERROR(FIND('112'!$M$9,G341,1)),"",IF((AND(RIGHT(G341,2)=RIGHT('112'!$M$9,2),B341&lt;'112'!$N$8,$M341='112'!$I$6)),"x",""))</f>
        <v/>
      </c>
      <c r="U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38" t="str">
        <f>IF(OR(TH!L341=TH!$V$7,M341=TH!$V$7),"x","")</f>
        <v/>
      </c>
      <c r="W341" s="38" t="str">
        <f>IF(AND(B341&gt;='IN-NX'!$P$3,B341&lt;='IN-NX'!$Q$3,'IN-NX'!$D$7=D341,OR(LEFT(L341,2)="15",AND(LEFT(M341,2)&lt;&gt;"15",LEFT(M341,2)&lt;&gt;"33"))),"x","")</f>
        <v/>
      </c>
      <c r="X341" s="38" t="str">
        <f>IF(AND(OR(LEFT(TH!L341,2)="15",LEFT(TH!M341,2)="15"),'152-CT'!$J$8=TH!F341),"x","")</f>
        <v/>
      </c>
      <c r="Y341" s="38" t="str">
        <f>IF(AND(OR(LEFT(TH!L341,2)="15",LEFT(TH!M341,2)="15"),TK!$E$7=TH!F341),"x","")</f>
        <v/>
      </c>
      <c r="Z341" s="38" t="str">
        <f>IF(AND(B341&lt;=NKC!$N$8,B341&gt;=NKC!$M$8),"x","")</f>
        <v/>
      </c>
      <c r="AA341" s="845"/>
      <c r="AB341" s="581"/>
    </row>
    <row r="342" spans="1:28" s="201" customFormat="1" ht="15.75" customHeight="1">
      <c r="A342" s="846" t="str">
        <f>IF(B342&lt;&gt;"",IF(AND(B342&gt;=_TM1,B342&lt;=_TM2,OR(TH!L342="1111",TH!M342="1111")),TH!D342,""),"")</f>
        <v/>
      </c>
      <c r="B342" s="36" t="str">
        <f t="shared" si="10"/>
        <v/>
      </c>
      <c r="C342" s="187"/>
      <c r="D342" s="187"/>
      <c r="E342" s="187"/>
      <c r="F342" s="39"/>
      <c r="G342" s="854"/>
      <c r="H342" s="189"/>
      <c r="I342" s="249"/>
      <c r="J342" s="249"/>
      <c r="K342" s="589"/>
      <c r="L342" s="590"/>
      <c r="M342" s="590"/>
      <c r="N342" s="38" t="str">
        <f>IF(AND('331-CT'!$E$7=TH!H342,OR(L342="331",M342="331")),"331",IF(AND(OR(L342="131",M342="131"),H342='131-CT'!$E$7),"131",""))</f>
        <v/>
      </c>
      <c r="O342" s="38" t="str">
        <f>IF(AND($B342&gt;='111'!$N$11,$B342&lt;='111'!$O$11,OR($L342=$O$7,$M342=$O$7)),"x","")</f>
        <v/>
      </c>
      <c r="P342" s="38" t="str">
        <f>IF(AND($L342=$O$7,$B342&lt;'111'!$N$11),"x","")</f>
        <v/>
      </c>
      <c r="Q342" s="38" t="str">
        <f>IF(AND($M342=$O$7,$B342&lt;'111'!$N$11),"x","")</f>
        <v/>
      </c>
      <c r="R342" s="38" t="str">
        <f>IF(ISERROR(FIND('112'!$M$9,G342,1)),"",IF((AND(FIND('112'!$M$9,G342,1)&gt;=1,$B342&gt;='112'!$N$8,$B342&lt;='112'!$O$8,OR($L342='112'!$I$6,$M342='112'!$I$6))),"x",""))</f>
        <v/>
      </c>
      <c r="S342" s="38" t="str">
        <f>IF(ISERROR(FIND('112'!$M$9,G342,1)),"",IF((AND(LEFT(G342,2)=LEFT('112'!$M$9,2),B342&lt;'112'!$N$8,$L342='112'!$I$6)),"x",""))</f>
        <v/>
      </c>
      <c r="T342" s="38" t="str">
        <f>IF(ISERROR(FIND('112'!$M$9,G342,1)),"",IF((AND(RIGHT(G342,2)=RIGHT('112'!$M$9,2),B342&lt;'112'!$N$8,$M342='112'!$I$6)),"x",""))</f>
        <v/>
      </c>
      <c r="U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38" t="str">
        <f>IF(OR(TH!L342=TH!$V$7,M342=TH!$V$7),"x","")</f>
        <v/>
      </c>
      <c r="W342" s="38" t="str">
        <f>IF(AND(B342&gt;='IN-NX'!$P$3,B342&lt;='IN-NX'!$Q$3,'IN-NX'!$D$7=D342,OR(LEFT(L342,2)="15",AND(LEFT(M342,2)&lt;&gt;"15",LEFT(M342,2)&lt;&gt;"33"))),"x","")</f>
        <v/>
      </c>
      <c r="X342" s="38" t="str">
        <f>IF(AND(OR(LEFT(TH!L342,2)="15",LEFT(TH!M342,2)="15"),'152-CT'!$J$8=TH!F342),"x","")</f>
        <v/>
      </c>
      <c r="Y342" s="38" t="str">
        <f>IF(AND(OR(LEFT(TH!L342,2)="15",LEFT(TH!M342,2)="15"),TK!$E$7=TH!F342),"x","")</f>
        <v/>
      </c>
      <c r="Z342" s="38" t="str">
        <f>IF(AND(B342&lt;=NKC!$N$8,B342&gt;=NKC!$M$8),"x","")</f>
        <v/>
      </c>
      <c r="AA342" s="845"/>
      <c r="AB342" s="581"/>
    </row>
    <row r="343" spans="1:28" s="201" customFormat="1" ht="15.75" customHeight="1">
      <c r="A343" s="846" t="str">
        <f>IF(B343&lt;&gt;"",IF(AND(B343&gt;=_TM1,B343&lt;=_TM2,OR(TH!L343="1111",TH!M343="1111")),TH!D343,""),"")</f>
        <v/>
      </c>
      <c r="B343" s="36" t="str">
        <f t="shared" si="10"/>
        <v/>
      </c>
      <c r="C343" s="187"/>
      <c r="D343" s="187"/>
      <c r="E343" s="187"/>
      <c r="F343" s="39"/>
      <c r="G343" s="854"/>
      <c r="H343" s="189"/>
      <c r="I343" s="249"/>
      <c r="J343" s="249"/>
      <c r="K343" s="589"/>
      <c r="L343" s="590"/>
      <c r="M343" s="590"/>
      <c r="N343" s="38" t="str">
        <f>IF(AND('331-CT'!$E$7=TH!H343,OR(L343="331",M343="331")),"331",IF(AND(OR(L343="131",M343="131"),H343='131-CT'!$E$7),"131",""))</f>
        <v/>
      </c>
      <c r="O343" s="38" t="str">
        <f>IF(AND($B343&gt;='111'!$N$11,$B343&lt;='111'!$O$11,OR($L343=$O$7,$M343=$O$7)),"x","")</f>
        <v/>
      </c>
      <c r="P343" s="38" t="str">
        <f>IF(AND($L343=$O$7,$B343&lt;'111'!$N$11),"x","")</f>
        <v/>
      </c>
      <c r="Q343" s="38" t="str">
        <f>IF(AND($M343=$O$7,$B343&lt;'111'!$N$11),"x","")</f>
        <v/>
      </c>
      <c r="R343" s="38" t="str">
        <f>IF(ISERROR(FIND('112'!$M$9,G343,1)),"",IF((AND(FIND('112'!$M$9,G343,1)&gt;=1,$B343&gt;='112'!$N$8,$B343&lt;='112'!$O$8,OR($L343='112'!$I$6,$M343='112'!$I$6))),"x",""))</f>
        <v/>
      </c>
      <c r="S343" s="38" t="str">
        <f>IF(ISERROR(FIND('112'!$M$9,G343,1)),"",IF((AND(LEFT(G343,2)=LEFT('112'!$M$9,2),B343&lt;'112'!$N$8,$L343='112'!$I$6)),"x",""))</f>
        <v/>
      </c>
      <c r="T343" s="38" t="str">
        <f>IF(ISERROR(FIND('112'!$M$9,G343,1)),"",IF((AND(RIGHT(G343,2)=RIGHT('112'!$M$9,2),B343&lt;'112'!$N$8,$M343='112'!$I$6)),"x",""))</f>
        <v/>
      </c>
      <c r="U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38" t="str">
        <f>IF(OR(TH!L343=TH!$V$7,M343=TH!$V$7),"x","")</f>
        <v/>
      </c>
      <c r="W343" s="38" t="str">
        <f>IF(AND(B343&gt;='IN-NX'!$P$3,B343&lt;='IN-NX'!$Q$3,'IN-NX'!$D$7=D343,OR(LEFT(L343,2)="15",AND(LEFT(M343,2)&lt;&gt;"15",LEFT(M343,2)&lt;&gt;"33"))),"x","")</f>
        <v/>
      </c>
      <c r="X343" s="38" t="str">
        <f>IF(AND(OR(LEFT(TH!L343,2)="15",LEFT(TH!M343,2)="15"),'152-CT'!$J$8=TH!F343),"x","")</f>
        <v/>
      </c>
      <c r="Y343" s="38" t="str">
        <f>IF(AND(OR(LEFT(TH!L343,2)="15",LEFT(TH!M343,2)="15"),TK!$E$7=TH!F343),"x","")</f>
        <v/>
      </c>
      <c r="Z343" s="38" t="str">
        <f>IF(AND(B343&lt;=NKC!$N$8,B343&gt;=NKC!$M$8),"x","")</f>
        <v/>
      </c>
      <c r="AA343" s="845"/>
      <c r="AB343" s="581"/>
    </row>
    <row r="344" spans="1:28" s="201" customFormat="1" ht="15.75" customHeight="1">
      <c r="A344" s="846" t="str">
        <f>IF(B344&lt;&gt;"",IF(AND(B344&gt;=_TM1,B344&lt;=_TM2,OR(TH!L344="1111",TH!M344="1111")),TH!D344,""),"")</f>
        <v/>
      </c>
      <c r="B344" s="36" t="str">
        <f t="shared" si="10"/>
        <v/>
      </c>
      <c r="C344" s="187"/>
      <c r="D344" s="187"/>
      <c r="E344" s="187"/>
      <c r="F344" s="39"/>
      <c r="G344" s="854"/>
      <c r="H344" s="189"/>
      <c r="I344" s="249"/>
      <c r="J344" s="249"/>
      <c r="K344" s="589"/>
      <c r="L344" s="590"/>
      <c r="M344" s="590"/>
      <c r="N344" s="38" t="str">
        <f>IF(AND('331-CT'!$E$7=TH!H344,OR(L344="331",M344="331")),"331",IF(AND(OR(L344="131",M344="131"),H344='131-CT'!$E$7),"131",""))</f>
        <v/>
      </c>
      <c r="O344" s="38" t="str">
        <f>IF(AND($B344&gt;='111'!$N$11,$B344&lt;='111'!$O$11,OR($L344=$O$7,$M344=$O$7)),"x","")</f>
        <v/>
      </c>
      <c r="P344" s="38" t="str">
        <f>IF(AND($L344=$O$7,$B344&lt;'111'!$N$11),"x","")</f>
        <v/>
      </c>
      <c r="Q344" s="38" t="str">
        <f>IF(AND($M344=$O$7,$B344&lt;'111'!$N$11),"x","")</f>
        <v/>
      </c>
      <c r="R344" s="38" t="str">
        <f>IF(ISERROR(FIND('112'!$M$9,G344,1)),"",IF((AND(FIND('112'!$M$9,G344,1)&gt;=1,$B344&gt;='112'!$N$8,$B344&lt;='112'!$O$8,OR($L344='112'!$I$6,$M344='112'!$I$6))),"x",""))</f>
        <v/>
      </c>
      <c r="S344" s="38" t="str">
        <f>IF(ISERROR(FIND('112'!$M$9,G344,1)),"",IF((AND(LEFT(G344,2)=LEFT('112'!$M$9,2),B344&lt;'112'!$N$8,$L344='112'!$I$6)),"x",""))</f>
        <v/>
      </c>
      <c r="T344" s="38" t="str">
        <f>IF(ISERROR(FIND('112'!$M$9,G344,1)),"",IF((AND(RIGHT(G344,2)=RIGHT('112'!$M$9,2),B344&lt;'112'!$N$8,$M344='112'!$I$6)),"x",""))</f>
        <v/>
      </c>
      <c r="U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38" t="str">
        <f>IF(OR(TH!L344=TH!$V$7,M344=TH!$V$7),"x","")</f>
        <v/>
      </c>
      <c r="W344" s="38" t="str">
        <f>IF(AND(B344&gt;='IN-NX'!$P$3,B344&lt;='IN-NX'!$Q$3,'IN-NX'!$D$7=D344,OR(LEFT(L344,2)="15",AND(LEFT(M344,2)&lt;&gt;"15",LEFT(M344,2)&lt;&gt;"33"))),"x","")</f>
        <v/>
      </c>
      <c r="X344" s="38" t="str">
        <f>IF(AND(OR(LEFT(TH!L344,2)="15",LEFT(TH!M344,2)="15"),'152-CT'!$J$8=TH!F344),"x","")</f>
        <v/>
      </c>
      <c r="Y344" s="38" t="str">
        <f>IF(AND(OR(LEFT(TH!L344,2)="15",LEFT(TH!M344,2)="15"),TK!$E$7=TH!F344),"x","")</f>
        <v/>
      </c>
      <c r="Z344" s="38" t="str">
        <f>IF(AND(B344&lt;=NKC!$N$8,B344&gt;=NKC!$M$8),"x","")</f>
        <v/>
      </c>
      <c r="AA344" s="845"/>
      <c r="AB344" s="581"/>
    </row>
    <row r="345" spans="1:28" s="201" customFormat="1" ht="15.75" customHeight="1">
      <c r="A345" s="846" t="str">
        <f>IF(B345&lt;&gt;"",IF(AND(B345&gt;=_TM1,B345&lt;=_TM2,OR(TH!L345="1111",TH!M345="1111")),TH!D345,""),"")</f>
        <v/>
      </c>
      <c r="B345" s="36" t="str">
        <f t="shared" si="10"/>
        <v/>
      </c>
      <c r="C345" s="187"/>
      <c r="D345" s="187"/>
      <c r="E345" s="187"/>
      <c r="F345" s="39"/>
      <c r="G345" s="854"/>
      <c r="H345" s="189"/>
      <c r="I345" s="249"/>
      <c r="J345" s="249"/>
      <c r="K345" s="589"/>
      <c r="L345" s="590"/>
      <c r="M345" s="590"/>
      <c r="N345" s="38" t="str">
        <f>IF(AND('331-CT'!$E$7=TH!H345,OR(L345="331",M345="331")),"331",IF(AND(OR(L345="131",M345="131"),H345='131-CT'!$E$7),"131",""))</f>
        <v/>
      </c>
      <c r="O345" s="38" t="str">
        <f>IF(AND($B345&gt;='111'!$N$11,$B345&lt;='111'!$O$11,OR($L345=$O$7,$M345=$O$7)),"x","")</f>
        <v/>
      </c>
      <c r="P345" s="38" t="str">
        <f>IF(AND($L345=$O$7,$B345&lt;'111'!$N$11),"x","")</f>
        <v/>
      </c>
      <c r="Q345" s="38" t="str">
        <f>IF(AND($M345=$O$7,$B345&lt;'111'!$N$11),"x","")</f>
        <v/>
      </c>
      <c r="R345" s="38" t="str">
        <f>IF(ISERROR(FIND('112'!$M$9,G345,1)),"",IF((AND(FIND('112'!$M$9,G345,1)&gt;=1,$B345&gt;='112'!$N$8,$B345&lt;='112'!$O$8,OR($L345='112'!$I$6,$M345='112'!$I$6))),"x",""))</f>
        <v/>
      </c>
      <c r="S345" s="38" t="str">
        <f>IF(ISERROR(FIND('112'!$M$9,G345,1)),"",IF((AND(LEFT(G345,2)=LEFT('112'!$M$9,2),B345&lt;'112'!$N$8,$L345='112'!$I$6)),"x",""))</f>
        <v/>
      </c>
      <c r="T345" s="38" t="str">
        <f>IF(ISERROR(FIND('112'!$M$9,G345,1)),"",IF((AND(RIGHT(G345,2)=RIGHT('112'!$M$9,2),B345&lt;'112'!$N$8,$M345='112'!$I$6)),"x",""))</f>
        <v/>
      </c>
      <c r="U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38" t="str">
        <f>IF(OR(TH!L345=TH!$V$7,M345=TH!$V$7),"x","")</f>
        <v/>
      </c>
      <c r="W345" s="38" t="str">
        <f>IF(AND(B345&gt;='IN-NX'!$P$3,B345&lt;='IN-NX'!$Q$3,'IN-NX'!$D$7=D345,OR(LEFT(L345,2)="15",AND(LEFT(M345,2)&lt;&gt;"15",LEFT(M345,2)&lt;&gt;"33"))),"x","")</f>
        <v/>
      </c>
      <c r="X345" s="38" t="str">
        <f>IF(AND(OR(LEFT(TH!L345,2)="15",LEFT(TH!M345,2)="15"),'152-CT'!$J$8=TH!F345),"x","")</f>
        <v/>
      </c>
      <c r="Y345" s="38" t="str">
        <f>IF(AND(OR(LEFT(TH!L345,2)="15",LEFT(TH!M345,2)="15"),TK!$E$7=TH!F345),"x","")</f>
        <v/>
      </c>
      <c r="Z345" s="38" t="str">
        <f>IF(AND(B345&lt;=NKC!$N$8,B345&gt;=NKC!$M$8),"x","")</f>
        <v/>
      </c>
      <c r="AA345" s="845"/>
      <c r="AB345" s="581"/>
    </row>
    <row r="346" spans="1:28" s="201" customFormat="1" ht="15.75" customHeight="1">
      <c r="A346" s="846" t="str">
        <f>IF(B346&lt;&gt;"",IF(AND(B346&gt;=_TM1,B346&lt;=_TM2,OR(TH!L346="1111",TH!M346="1111")),TH!D346,""),"")</f>
        <v/>
      </c>
      <c r="B346" s="36" t="str">
        <f t="shared" si="10"/>
        <v/>
      </c>
      <c r="C346" s="187"/>
      <c r="D346" s="187"/>
      <c r="E346" s="187"/>
      <c r="F346" s="39"/>
      <c r="G346" s="854"/>
      <c r="H346" s="189"/>
      <c r="I346" s="249"/>
      <c r="J346" s="249"/>
      <c r="K346" s="589"/>
      <c r="L346" s="590"/>
      <c r="M346" s="590"/>
      <c r="N346" s="38" t="str">
        <f>IF(AND('331-CT'!$E$7=TH!H346,OR(L346="331",M346="331")),"331",IF(AND(OR(L346="131",M346="131"),H346='131-CT'!$E$7),"131",""))</f>
        <v/>
      </c>
      <c r="O346" s="38" t="str">
        <f>IF(AND($B346&gt;='111'!$N$11,$B346&lt;='111'!$O$11,OR($L346=$O$7,$M346=$O$7)),"x","")</f>
        <v/>
      </c>
      <c r="P346" s="38" t="str">
        <f>IF(AND($L346=$O$7,$B346&lt;'111'!$N$11),"x","")</f>
        <v/>
      </c>
      <c r="Q346" s="38" t="str">
        <f>IF(AND($M346=$O$7,$B346&lt;'111'!$N$11),"x","")</f>
        <v/>
      </c>
      <c r="R346" s="38" t="str">
        <f>IF(ISERROR(FIND('112'!$M$9,G346,1)),"",IF((AND(FIND('112'!$M$9,G346,1)&gt;=1,$B346&gt;='112'!$N$8,$B346&lt;='112'!$O$8,OR($L346='112'!$I$6,$M346='112'!$I$6))),"x",""))</f>
        <v/>
      </c>
      <c r="S346" s="38" t="str">
        <f>IF(ISERROR(FIND('112'!$M$9,G346,1)),"",IF((AND(LEFT(G346,2)=LEFT('112'!$M$9,2),B346&lt;'112'!$N$8,$L346='112'!$I$6)),"x",""))</f>
        <v/>
      </c>
      <c r="T346" s="38" t="str">
        <f>IF(ISERROR(FIND('112'!$M$9,G346,1)),"",IF((AND(RIGHT(G346,2)=RIGHT('112'!$M$9,2),B346&lt;'112'!$N$8,$M346='112'!$I$6)),"x",""))</f>
        <v/>
      </c>
      <c r="U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38" t="str">
        <f>IF(OR(TH!L346=TH!$V$7,M346=TH!$V$7),"x","")</f>
        <v/>
      </c>
      <c r="W346" s="38" t="str">
        <f>IF(AND(B346&gt;='IN-NX'!$P$3,B346&lt;='IN-NX'!$Q$3,'IN-NX'!$D$7=D346,OR(LEFT(L346,2)="15",AND(LEFT(M346,2)&lt;&gt;"15",LEFT(M346,2)&lt;&gt;"33"))),"x","")</f>
        <v/>
      </c>
      <c r="X346" s="38" t="str">
        <f>IF(AND(OR(LEFT(TH!L346,2)="15",LEFT(TH!M346,2)="15"),'152-CT'!$J$8=TH!F346),"x","")</f>
        <v/>
      </c>
      <c r="Y346" s="38" t="str">
        <f>IF(AND(OR(LEFT(TH!L346,2)="15",LEFT(TH!M346,2)="15"),TK!$E$7=TH!F346),"x","")</f>
        <v/>
      </c>
      <c r="Z346" s="38" t="str">
        <f>IF(AND(B346&lt;=NKC!$N$8,B346&gt;=NKC!$M$8),"x","")</f>
        <v/>
      </c>
      <c r="AA346" s="845"/>
      <c r="AB346" s="581"/>
    </row>
    <row r="347" spans="1:28" s="201" customFormat="1" ht="15.75" customHeight="1">
      <c r="A347" s="846" t="str">
        <f>IF(B347&lt;&gt;"",IF(AND(B347&gt;=_TM1,B347&lt;=_TM2,OR(TH!L347="1111",TH!M347="1111")),TH!D347,""),"")</f>
        <v/>
      </c>
      <c r="B347" s="36" t="str">
        <f t="shared" si="10"/>
        <v/>
      </c>
      <c r="C347" s="187"/>
      <c r="D347" s="187"/>
      <c r="E347" s="187"/>
      <c r="F347" s="39"/>
      <c r="G347" s="854"/>
      <c r="H347" s="189"/>
      <c r="I347" s="249"/>
      <c r="J347" s="249"/>
      <c r="K347" s="589"/>
      <c r="L347" s="590"/>
      <c r="M347" s="590"/>
      <c r="N347" s="38" t="str">
        <f>IF(AND('331-CT'!$E$7=TH!H347,OR(L347="331",M347="331")),"331",IF(AND(OR(L347="131",M347="131"),H347='131-CT'!$E$7),"131",""))</f>
        <v/>
      </c>
      <c r="O347" s="38" t="str">
        <f>IF(AND($B347&gt;='111'!$N$11,$B347&lt;='111'!$O$11,OR($L347=$O$7,$M347=$O$7)),"x","")</f>
        <v/>
      </c>
      <c r="P347" s="38" t="str">
        <f>IF(AND($L347=$O$7,$B347&lt;'111'!$N$11),"x","")</f>
        <v/>
      </c>
      <c r="Q347" s="38" t="str">
        <f>IF(AND($M347=$O$7,$B347&lt;'111'!$N$11),"x","")</f>
        <v/>
      </c>
      <c r="R347" s="38" t="str">
        <f>IF(ISERROR(FIND('112'!$M$9,G347,1)),"",IF((AND(FIND('112'!$M$9,G347,1)&gt;=1,$B347&gt;='112'!$N$8,$B347&lt;='112'!$O$8,OR($L347='112'!$I$6,$M347='112'!$I$6))),"x",""))</f>
        <v/>
      </c>
      <c r="S347" s="38" t="str">
        <f>IF(ISERROR(FIND('112'!$M$9,G347,1)),"",IF((AND(LEFT(G347,2)=LEFT('112'!$M$9,2),B347&lt;'112'!$N$8,$L347='112'!$I$6)),"x",""))</f>
        <v/>
      </c>
      <c r="T347" s="38" t="str">
        <f>IF(ISERROR(FIND('112'!$M$9,G347,1)),"",IF((AND(RIGHT(G347,2)=RIGHT('112'!$M$9,2),B347&lt;'112'!$N$8,$M347='112'!$I$6)),"x",""))</f>
        <v/>
      </c>
      <c r="U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38" t="str">
        <f>IF(OR(TH!L347=TH!$V$7,M347=TH!$V$7),"x","")</f>
        <v/>
      </c>
      <c r="W347" s="38" t="str">
        <f>IF(AND(B347&gt;='IN-NX'!$P$3,B347&lt;='IN-NX'!$Q$3,'IN-NX'!$D$7=D347,OR(LEFT(L347,2)="15",AND(LEFT(M347,2)&lt;&gt;"15",LEFT(M347,2)&lt;&gt;"33"))),"x","")</f>
        <v/>
      </c>
      <c r="X347" s="38" t="str">
        <f>IF(AND(OR(LEFT(TH!L347,2)="15",LEFT(TH!M347,2)="15"),'152-CT'!$J$8=TH!F347),"x","")</f>
        <v/>
      </c>
      <c r="Y347" s="38" t="str">
        <f>IF(AND(OR(LEFT(TH!L347,2)="15",LEFT(TH!M347,2)="15"),TK!$E$7=TH!F347),"x","")</f>
        <v/>
      </c>
      <c r="Z347" s="38" t="str">
        <f>IF(AND(B347&lt;=NKC!$N$8,B347&gt;=NKC!$M$8),"x","")</f>
        <v/>
      </c>
      <c r="AA347" s="845"/>
      <c r="AB347" s="581"/>
    </row>
    <row r="348" spans="1:28" s="201" customFormat="1" ht="15.75" customHeight="1">
      <c r="A348" s="846" t="str">
        <f>IF(B348&lt;&gt;"",IF(AND(B348&gt;=_TM1,B348&lt;=_TM2,OR(TH!L348="1111",TH!M348="1111")),TH!D348,""),"")</f>
        <v/>
      </c>
      <c r="B348" s="36" t="str">
        <f t="shared" si="10"/>
        <v/>
      </c>
      <c r="C348" s="187"/>
      <c r="D348" s="187"/>
      <c r="E348" s="187"/>
      <c r="F348" s="39"/>
      <c r="G348" s="854"/>
      <c r="H348" s="189"/>
      <c r="I348" s="249"/>
      <c r="J348" s="249"/>
      <c r="K348" s="589"/>
      <c r="L348" s="590"/>
      <c r="M348" s="590"/>
      <c r="N348" s="38" t="str">
        <f>IF(AND('331-CT'!$E$7=TH!H348,OR(L348="331",M348="331")),"331",IF(AND(OR(L348="131",M348="131"),H348='131-CT'!$E$7),"131",""))</f>
        <v/>
      </c>
      <c r="O348" s="38" t="str">
        <f>IF(AND($B348&gt;='111'!$N$11,$B348&lt;='111'!$O$11,OR($L348=$O$7,$M348=$O$7)),"x","")</f>
        <v/>
      </c>
      <c r="P348" s="38" t="str">
        <f>IF(AND($L348=$O$7,$B348&lt;'111'!$N$11),"x","")</f>
        <v/>
      </c>
      <c r="Q348" s="38" t="str">
        <f>IF(AND($M348=$O$7,$B348&lt;'111'!$N$11),"x","")</f>
        <v/>
      </c>
      <c r="R348" s="38" t="str">
        <f>IF(ISERROR(FIND('112'!$M$9,G348,1)),"",IF((AND(FIND('112'!$M$9,G348,1)&gt;=1,$B348&gt;='112'!$N$8,$B348&lt;='112'!$O$8,OR($L348='112'!$I$6,$M348='112'!$I$6))),"x",""))</f>
        <v/>
      </c>
      <c r="S348" s="38" t="str">
        <f>IF(ISERROR(FIND('112'!$M$9,G348,1)),"",IF((AND(LEFT(G348,2)=LEFT('112'!$M$9,2),B348&lt;'112'!$N$8,$L348='112'!$I$6)),"x",""))</f>
        <v/>
      </c>
      <c r="T348" s="38" t="str">
        <f>IF(ISERROR(FIND('112'!$M$9,G348,1)),"",IF((AND(RIGHT(G348,2)=RIGHT('112'!$M$9,2),B348&lt;'112'!$N$8,$M348='112'!$I$6)),"x",""))</f>
        <v/>
      </c>
      <c r="U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38" t="str">
        <f>IF(OR(TH!L348=TH!$V$7,M348=TH!$V$7),"x","")</f>
        <v/>
      </c>
      <c r="W348" s="38" t="str">
        <f>IF(AND(B348&gt;='IN-NX'!$P$3,B348&lt;='IN-NX'!$Q$3,'IN-NX'!$D$7=D348,OR(LEFT(L348,2)="15",AND(LEFT(M348,2)&lt;&gt;"15",LEFT(M348,2)&lt;&gt;"33"))),"x","")</f>
        <v/>
      </c>
      <c r="X348" s="38" t="str">
        <f>IF(AND(OR(LEFT(TH!L348,2)="15",LEFT(TH!M348,2)="15"),'152-CT'!$J$8=TH!F348),"x","")</f>
        <v/>
      </c>
      <c r="Y348" s="38" t="str">
        <f>IF(AND(OR(LEFT(TH!L348,2)="15",LEFT(TH!M348,2)="15"),TK!$E$7=TH!F348),"x","")</f>
        <v/>
      </c>
      <c r="Z348" s="38" t="str">
        <f>IF(AND(B348&lt;=NKC!$N$8,B348&gt;=NKC!$M$8),"x","")</f>
        <v/>
      </c>
      <c r="AA348" s="845"/>
      <c r="AB348" s="581"/>
    </row>
    <row r="349" spans="1:28" s="201" customFormat="1" ht="15.75" customHeight="1">
      <c r="A349" s="846" t="str">
        <f>IF(B349&lt;&gt;"",IF(AND(B349&gt;=_TM1,B349&lt;=_TM2,OR(TH!L349="1111",TH!M349="1111")),TH!D349,""),"")</f>
        <v/>
      </c>
      <c r="B349" s="36" t="str">
        <f t="shared" si="10"/>
        <v/>
      </c>
      <c r="C349" s="187"/>
      <c r="D349" s="187"/>
      <c r="E349" s="187"/>
      <c r="F349" s="39"/>
      <c r="G349" s="854"/>
      <c r="H349" s="189"/>
      <c r="I349" s="249"/>
      <c r="J349" s="249"/>
      <c r="K349" s="589"/>
      <c r="L349" s="590"/>
      <c r="M349" s="590"/>
      <c r="N349" s="38" t="str">
        <f>IF(AND('331-CT'!$E$7=TH!H349,OR(L349="331",M349="331")),"331",IF(AND(OR(L349="131",M349="131"),H349='131-CT'!$E$7),"131",""))</f>
        <v/>
      </c>
      <c r="O349" s="38" t="str">
        <f>IF(AND($B349&gt;='111'!$N$11,$B349&lt;='111'!$O$11,OR($L349=$O$7,$M349=$O$7)),"x","")</f>
        <v/>
      </c>
      <c r="P349" s="38" t="str">
        <f>IF(AND($L349=$O$7,$B349&lt;'111'!$N$11),"x","")</f>
        <v/>
      </c>
      <c r="Q349" s="38" t="str">
        <f>IF(AND($M349=$O$7,$B349&lt;'111'!$N$11),"x","")</f>
        <v/>
      </c>
      <c r="R349" s="38" t="str">
        <f>IF(ISERROR(FIND('112'!$M$9,G349,1)),"",IF((AND(FIND('112'!$M$9,G349,1)&gt;=1,$B349&gt;='112'!$N$8,$B349&lt;='112'!$O$8,OR($L349='112'!$I$6,$M349='112'!$I$6))),"x",""))</f>
        <v/>
      </c>
      <c r="S349" s="38" t="str">
        <f>IF(ISERROR(FIND('112'!$M$9,G349,1)),"",IF((AND(LEFT(G349,2)=LEFT('112'!$M$9,2),B349&lt;'112'!$N$8,$L349='112'!$I$6)),"x",""))</f>
        <v/>
      </c>
      <c r="T349" s="38" t="str">
        <f>IF(ISERROR(FIND('112'!$M$9,G349,1)),"",IF((AND(RIGHT(G349,2)=RIGHT('112'!$M$9,2),B349&lt;'112'!$N$8,$M349='112'!$I$6)),"x",""))</f>
        <v/>
      </c>
      <c r="U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38" t="str">
        <f>IF(OR(TH!L349=TH!$V$7,M349=TH!$V$7),"x","")</f>
        <v/>
      </c>
      <c r="W349" s="38" t="str">
        <f>IF(AND(B349&gt;='IN-NX'!$P$3,B349&lt;='IN-NX'!$Q$3,'IN-NX'!$D$7=D349,OR(LEFT(L349,2)="15",AND(LEFT(M349,2)&lt;&gt;"15",LEFT(M349,2)&lt;&gt;"33"))),"x","")</f>
        <v/>
      </c>
      <c r="X349" s="38" t="str">
        <f>IF(AND(OR(LEFT(TH!L349,2)="15",LEFT(TH!M349,2)="15"),'152-CT'!$J$8=TH!F349),"x","")</f>
        <v/>
      </c>
      <c r="Y349" s="38" t="str">
        <f>IF(AND(OR(LEFT(TH!L349,2)="15",LEFT(TH!M349,2)="15"),TK!$E$7=TH!F349),"x","")</f>
        <v/>
      </c>
      <c r="Z349" s="38" t="str">
        <f>IF(AND(B349&lt;=NKC!$N$8,B349&gt;=NKC!$M$8),"x","")</f>
        <v/>
      </c>
      <c r="AA349" s="845"/>
      <c r="AB349" s="581"/>
    </row>
    <row r="350" spans="1:28" s="201" customFormat="1" ht="15.75" customHeight="1">
      <c r="A350" s="846" t="str">
        <f>IF(B350&lt;&gt;"",IF(AND(B350&gt;=_TM1,B350&lt;=_TM2,OR(TH!L350="1111",TH!M350="1111")),TH!D350,""),"")</f>
        <v/>
      </c>
      <c r="B350" s="36" t="str">
        <f t="shared" si="10"/>
        <v/>
      </c>
      <c r="C350" s="187"/>
      <c r="D350" s="187"/>
      <c r="E350" s="187"/>
      <c r="F350" s="39"/>
      <c r="G350" s="854"/>
      <c r="H350" s="189"/>
      <c r="I350" s="249"/>
      <c r="J350" s="249"/>
      <c r="K350" s="589"/>
      <c r="L350" s="590"/>
      <c r="M350" s="590"/>
      <c r="N350" s="38" t="str">
        <f>IF(AND('331-CT'!$E$7=TH!H350,OR(L350="331",M350="331")),"331",IF(AND(OR(L350="131",M350="131"),H350='131-CT'!$E$7),"131",""))</f>
        <v/>
      </c>
      <c r="O350" s="38" t="str">
        <f>IF(AND($B350&gt;='111'!$N$11,$B350&lt;='111'!$O$11,OR($L350=$O$7,$M350=$O$7)),"x","")</f>
        <v/>
      </c>
      <c r="P350" s="38" t="str">
        <f>IF(AND($L350=$O$7,$B350&lt;'111'!$N$11),"x","")</f>
        <v/>
      </c>
      <c r="Q350" s="38" t="str">
        <f>IF(AND($M350=$O$7,$B350&lt;'111'!$N$11),"x","")</f>
        <v/>
      </c>
      <c r="R350" s="38" t="str">
        <f>IF(ISERROR(FIND('112'!$M$9,G350,1)),"",IF((AND(FIND('112'!$M$9,G350,1)&gt;=1,$B350&gt;='112'!$N$8,$B350&lt;='112'!$O$8,OR($L350='112'!$I$6,$M350='112'!$I$6))),"x",""))</f>
        <v/>
      </c>
      <c r="S350" s="38" t="str">
        <f>IF(ISERROR(FIND('112'!$M$9,G350,1)),"",IF((AND(LEFT(G350,2)=LEFT('112'!$M$9,2),B350&lt;'112'!$N$8,$L350='112'!$I$6)),"x",""))</f>
        <v/>
      </c>
      <c r="T350" s="38" t="str">
        <f>IF(ISERROR(FIND('112'!$M$9,G350,1)),"",IF((AND(RIGHT(G350,2)=RIGHT('112'!$M$9,2),B350&lt;'112'!$N$8,$M350='112'!$I$6)),"x",""))</f>
        <v/>
      </c>
      <c r="U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38" t="str">
        <f>IF(OR(TH!L350=TH!$V$7,M350=TH!$V$7),"x","")</f>
        <v/>
      </c>
      <c r="W350" s="38" t="str">
        <f>IF(AND(B350&gt;='IN-NX'!$P$3,B350&lt;='IN-NX'!$Q$3,'IN-NX'!$D$7=D350,OR(LEFT(L350,2)="15",AND(LEFT(M350,2)&lt;&gt;"15",LEFT(M350,2)&lt;&gt;"33"))),"x","")</f>
        <v/>
      </c>
      <c r="X350" s="38" t="str">
        <f>IF(AND(OR(LEFT(TH!L350,2)="15",LEFT(TH!M350,2)="15"),'152-CT'!$J$8=TH!F350),"x","")</f>
        <v/>
      </c>
      <c r="Y350" s="38" t="str">
        <f>IF(AND(OR(LEFT(TH!L350,2)="15",LEFT(TH!M350,2)="15"),TK!$E$7=TH!F350),"x","")</f>
        <v/>
      </c>
      <c r="Z350" s="38" t="str">
        <f>IF(AND(B350&lt;=NKC!$N$8,B350&gt;=NKC!$M$8),"x","")</f>
        <v/>
      </c>
      <c r="AA350" s="845"/>
      <c r="AB350" s="581"/>
    </row>
    <row r="351" spans="1:28" s="201" customFormat="1" ht="15.75" customHeight="1">
      <c r="A351" s="846" t="str">
        <f>IF(B351&lt;&gt;"",IF(AND(B351&gt;=_TM1,B351&lt;=_TM2,OR(TH!L351="1111",TH!M351="1111")),TH!D351,""),"")</f>
        <v/>
      </c>
      <c r="B351" s="36" t="str">
        <f t="shared" si="10"/>
        <v/>
      </c>
      <c r="C351" s="187"/>
      <c r="D351" s="187"/>
      <c r="E351" s="187"/>
      <c r="F351" s="39"/>
      <c r="G351" s="854"/>
      <c r="H351" s="189"/>
      <c r="I351" s="249"/>
      <c r="J351" s="249"/>
      <c r="K351" s="589"/>
      <c r="L351" s="590"/>
      <c r="M351" s="590"/>
      <c r="N351" s="38" t="str">
        <f>IF(AND('331-CT'!$E$7=TH!H351,OR(L351="331",M351="331")),"331",IF(AND(OR(L351="131",M351="131"),H351='131-CT'!$E$7),"131",""))</f>
        <v/>
      </c>
      <c r="O351" s="38" t="str">
        <f>IF(AND($B351&gt;='111'!$N$11,$B351&lt;='111'!$O$11,OR($L351=$O$7,$M351=$O$7)),"x","")</f>
        <v/>
      </c>
      <c r="P351" s="38" t="str">
        <f>IF(AND($L351=$O$7,$B351&lt;'111'!$N$11),"x","")</f>
        <v/>
      </c>
      <c r="Q351" s="38" t="str">
        <f>IF(AND($M351=$O$7,$B351&lt;'111'!$N$11),"x","")</f>
        <v/>
      </c>
      <c r="R351" s="38" t="str">
        <f>IF(ISERROR(FIND('112'!$M$9,G351,1)),"",IF((AND(FIND('112'!$M$9,G351,1)&gt;=1,$B351&gt;='112'!$N$8,$B351&lt;='112'!$O$8,OR($L351='112'!$I$6,$M351='112'!$I$6))),"x",""))</f>
        <v/>
      </c>
      <c r="S351" s="38" t="str">
        <f>IF(ISERROR(FIND('112'!$M$9,G351,1)),"",IF((AND(LEFT(G351,2)=LEFT('112'!$M$9,2),B351&lt;'112'!$N$8,$L351='112'!$I$6)),"x",""))</f>
        <v/>
      </c>
      <c r="T351" s="38" t="str">
        <f>IF(ISERROR(FIND('112'!$M$9,G351,1)),"",IF((AND(RIGHT(G351,2)=RIGHT('112'!$M$9,2),B351&lt;'112'!$N$8,$M351='112'!$I$6)),"x",""))</f>
        <v/>
      </c>
      <c r="U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38" t="str">
        <f>IF(OR(TH!L351=TH!$V$7,M351=TH!$V$7),"x","")</f>
        <v/>
      </c>
      <c r="W351" s="38" t="str">
        <f>IF(AND(B351&gt;='IN-NX'!$P$3,B351&lt;='IN-NX'!$Q$3,'IN-NX'!$D$7=D351,OR(LEFT(L351,2)="15",AND(LEFT(M351,2)&lt;&gt;"15",LEFT(M351,2)&lt;&gt;"33"))),"x","")</f>
        <v/>
      </c>
      <c r="X351" s="38" t="str">
        <f>IF(AND(OR(LEFT(TH!L351,2)="15",LEFT(TH!M351,2)="15"),'152-CT'!$J$8=TH!F351),"x","")</f>
        <v/>
      </c>
      <c r="Y351" s="38" t="str">
        <f>IF(AND(OR(LEFT(TH!L351,2)="15",LEFT(TH!M351,2)="15"),TK!$E$7=TH!F351),"x","")</f>
        <v/>
      </c>
      <c r="Z351" s="38" t="str">
        <f>IF(AND(B351&lt;=NKC!$N$8,B351&gt;=NKC!$M$8),"x","")</f>
        <v/>
      </c>
      <c r="AA351" s="845"/>
      <c r="AB351" s="581"/>
    </row>
    <row r="352" spans="1:28" s="201" customFormat="1" ht="15.75" customHeight="1">
      <c r="A352" s="846" t="str">
        <f>IF(B352&lt;&gt;"",IF(AND(B352&gt;=_TM1,B352&lt;=_TM2,OR(TH!L352="1111",TH!M352="1111")),TH!D352,""),"")</f>
        <v/>
      </c>
      <c r="B352" s="36" t="str">
        <f t="shared" si="10"/>
        <v/>
      </c>
      <c r="C352" s="187"/>
      <c r="D352" s="187"/>
      <c r="E352" s="187"/>
      <c r="F352" s="39"/>
      <c r="G352" s="854"/>
      <c r="H352" s="189"/>
      <c r="I352" s="249"/>
      <c r="J352" s="249"/>
      <c r="K352" s="589"/>
      <c r="L352" s="590"/>
      <c r="M352" s="590"/>
      <c r="N352" s="38" t="str">
        <f>IF(AND('331-CT'!$E$7=TH!H352,OR(L352="331",M352="331")),"331",IF(AND(OR(L352="131",M352="131"),H352='131-CT'!$E$7),"131",""))</f>
        <v/>
      </c>
      <c r="O352" s="38" t="str">
        <f>IF(AND($B352&gt;='111'!$N$11,$B352&lt;='111'!$O$11,OR($L352=$O$7,$M352=$O$7)),"x","")</f>
        <v/>
      </c>
      <c r="P352" s="38" t="str">
        <f>IF(AND($L352=$O$7,$B352&lt;'111'!$N$11),"x","")</f>
        <v/>
      </c>
      <c r="Q352" s="38" t="str">
        <f>IF(AND($M352=$O$7,$B352&lt;'111'!$N$11),"x","")</f>
        <v/>
      </c>
      <c r="R352" s="38" t="str">
        <f>IF(ISERROR(FIND('112'!$M$9,G352,1)),"",IF((AND(FIND('112'!$M$9,G352,1)&gt;=1,$B352&gt;='112'!$N$8,$B352&lt;='112'!$O$8,OR($L352='112'!$I$6,$M352='112'!$I$6))),"x",""))</f>
        <v/>
      </c>
      <c r="S352" s="38" t="str">
        <f>IF(ISERROR(FIND('112'!$M$9,G352,1)),"",IF((AND(LEFT(G352,2)=LEFT('112'!$M$9,2),B352&lt;'112'!$N$8,$L352='112'!$I$6)),"x",""))</f>
        <v/>
      </c>
      <c r="T352" s="38" t="str">
        <f>IF(ISERROR(FIND('112'!$M$9,G352,1)),"",IF((AND(RIGHT(G352,2)=RIGHT('112'!$M$9,2),B352&lt;'112'!$N$8,$M352='112'!$I$6)),"x",""))</f>
        <v/>
      </c>
      <c r="U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38" t="str">
        <f>IF(OR(TH!L352=TH!$V$7,M352=TH!$V$7),"x","")</f>
        <v/>
      </c>
      <c r="W352" s="38" t="str">
        <f>IF(AND(B352&gt;='IN-NX'!$P$3,B352&lt;='IN-NX'!$Q$3,'IN-NX'!$D$7=D352,OR(LEFT(L352,2)="15",AND(LEFT(M352,2)&lt;&gt;"15",LEFT(M352,2)&lt;&gt;"33"))),"x","")</f>
        <v/>
      </c>
      <c r="X352" s="38" t="str">
        <f>IF(AND(OR(LEFT(TH!L352,2)="15",LEFT(TH!M352,2)="15"),'152-CT'!$J$8=TH!F352),"x","")</f>
        <v/>
      </c>
      <c r="Y352" s="38" t="str">
        <f>IF(AND(OR(LEFT(TH!L352,2)="15",LEFT(TH!M352,2)="15"),TK!$E$7=TH!F352),"x","")</f>
        <v/>
      </c>
      <c r="Z352" s="38" t="str">
        <f>IF(AND(B352&lt;=NKC!$N$8,B352&gt;=NKC!$M$8),"x","")</f>
        <v/>
      </c>
      <c r="AA352" s="845"/>
      <c r="AB352" s="581"/>
    </row>
    <row r="353" spans="1:28" s="201" customFormat="1" ht="15.75" customHeight="1">
      <c r="A353" s="846" t="str">
        <f>IF(B353&lt;&gt;"",IF(AND(B353&gt;=_TM1,B353&lt;=_TM2,OR(TH!L353="1111",TH!M353="1111")),TH!D353,""),"")</f>
        <v/>
      </c>
      <c r="B353" s="36" t="str">
        <f t="shared" si="10"/>
        <v/>
      </c>
      <c r="C353" s="187"/>
      <c r="D353" s="187"/>
      <c r="E353" s="187"/>
      <c r="F353" s="39"/>
      <c r="G353" s="854"/>
      <c r="H353" s="189"/>
      <c r="I353" s="249"/>
      <c r="J353" s="249"/>
      <c r="K353" s="589"/>
      <c r="L353" s="590"/>
      <c r="M353" s="590"/>
      <c r="N353" s="38" t="str">
        <f>IF(AND('331-CT'!$E$7=TH!H353,OR(L353="331",M353="331")),"331",IF(AND(OR(L353="131",M353="131"),H353='131-CT'!$E$7),"131",""))</f>
        <v/>
      </c>
      <c r="O353" s="38" t="str">
        <f>IF(AND($B353&gt;='111'!$N$11,$B353&lt;='111'!$O$11,OR($L353=$O$7,$M353=$O$7)),"x","")</f>
        <v/>
      </c>
      <c r="P353" s="38" t="str">
        <f>IF(AND($L353=$O$7,$B353&lt;'111'!$N$11),"x","")</f>
        <v/>
      </c>
      <c r="Q353" s="38" t="str">
        <f>IF(AND($M353=$O$7,$B353&lt;'111'!$N$11),"x","")</f>
        <v/>
      </c>
      <c r="R353" s="38" t="str">
        <f>IF(ISERROR(FIND('112'!$M$9,G353,1)),"",IF((AND(FIND('112'!$M$9,G353,1)&gt;=1,$B353&gt;='112'!$N$8,$B353&lt;='112'!$O$8,OR($L353='112'!$I$6,$M353='112'!$I$6))),"x",""))</f>
        <v/>
      </c>
      <c r="S353" s="38" t="str">
        <f>IF(ISERROR(FIND('112'!$M$9,G353,1)),"",IF((AND(LEFT(G353,2)=LEFT('112'!$M$9,2),B353&lt;'112'!$N$8,$L353='112'!$I$6)),"x",""))</f>
        <v/>
      </c>
      <c r="T353" s="38" t="str">
        <f>IF(ISERROR(FIND('112'!$M$9,G353,1)),"",IF((AND(RIGHT(G353,2)=RIGHT('112'!$M$9,2),B353&lt;'112'!$N$8,$M353='112'!$I$6)),"x",""))</f>
        <v/>
      </c>
      <c r="U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38" t="str">
        <f>IF(OR(TH!L353=TH!$V$7,M353=TH!$V$7),"x","")</f>
        <v/>
      </c>
      <c r="W353" s="38" t="str">
        <f>IF(AND(B353&gt;='IN-NX'!$P$3,B353&lt;='IN-NX'!$Q$3,'IN-NX'!$D$7=D353,OR(LEFT(L353,2)="15",AND(LEFT(M353,2)&lt;&gt;"15",LEFT(M353,2)&lt;&gt;"33"))),"x","")</f>
        <v/>
      </c>
      <c r="X353" s="38" t="str">
        <f>IF(AND(OR(LEFT(TH!L353,2)="15",LEFT(TH!M353,2)="15"),'152-CT'!$J$8=TH!F353),"x","")</f>
        <v/>
      </c>
      <c r="Y353" s="38" t="str">
        <f>IF(AND(OR(LEFT(TH!L353,2)="15",LEFT(TH!M353,2)="15"),TK!$E$7=TH!F353),"x","")</f>
        <v/>
      </c>
      <c r="Z353" s="38" t="str">
        <f>IF(AND(B353&lt;=NKC!$N$8,B353&gt;=NKC!$M$8),"x","")</f>
        <v/>
      </c>
      <c r="AA353" s="845"/>
      <c r="AB353" s="581"/>
    </row>
    <row r="354" spans="1:28" s="201" customFormat="1" ht="15.75" customHeight="1">
      <c r="A354" s="846" t="str">
        <f>IF(B354&lt;&gt;"",IF(AND(B354&gt;=_TM1,B354&lt;=_TM2,OR(TH!L354="1111",TH!M354="1111")),TH!D354,""),"")</f>
        <v/>
      </c>
      <c r="B354" s="36" t="str">
        <f t="shared" si="10"/>
        <v/>
      </c>
      <c r="C354" s="187"/>
      <c r="D354" s="187"/>
      <c r="E354" s="187"/>
      <c r="F354" s="39"/>
      <c r="G354" s="854"/>
      <c r="H354" s="189"/>
      <c r="I354" s="249"/>
      <c r="J354" s="249"/>
      <c r="K354" s="589"/>
      <c r="L354" s="590"/>
      <c r="M354" s="590"/>
      <c r="N354" s="38" t="str">
        <f>IF(AND('331-CT'!$E$7=TH!H354,OR(L354="331",M354="331")),"331",IF(AND(OR(L354="131",M354="131"),H354='131-CT'!$E$7),"131",""))</f>
        <v/>
      </c>
      <c r="O354" s="38" t="str">
        <f>IF(AND($B354&gt;='111'!$N$11,$B354&lt;='111'!$O$11,OR($L354=$O$7,$M354=$O$7)),"x","")</f>
        <v/>
      </c>
      <c r="P354" s="38" t="str">
        <f>IF(AND($L354=$O$7,$B354&lt;'111'!$N$11),"x","")</f>
        <v/>
      </c>
      <c r="Q354" s="38" t="str">
        <f>IF(AND($M354=$O$7,$B354&lt;'111'!$N$11),"x","")</f>
        <v/>
      </c>
      <c r="R354" s="38" t="str">
        <f>IF(ISERROR(FIND('112'!$M$9,G354,1)),"",IF((AND(FIND('112'!$M$9,G354,1)&gt;=1,$B354&gt;='112'!$N$8,$B354&lt;='112'!$O$8,OR($L354='112'!$I$6,$M354='112'!$I$6))),"x",""))</f>
        <v/>
      </c>
      <c r="S354" s="38" t="str">
        <f>IF(ISERROR(FIND('112'!$M$9,G354,1)),"",IF((AND(LEFT(G354,2)=LEFT('112'!$M$9,2),B354&lt;'112'!$N$8,$L354='112'!$I$6)),"x",""))</f>
        <v/>
      </c>
      <c r="T354" s="38" t="str">
        <f>IF(ISERROR(FIND('112'!$M$9,G354,1)),"",IF((AND(RIGHT(G354,2)=RIGHT('112'!$M$9,2),B354&lt;'112'!$N$8,$M354='112'!$I$6)),"x",""))</f>
        <v/>
      </c>
      <c r="U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38" t="str">
        <f>IF(OR(TH!L354=TH!$V$7,M354=TH!$V$7),"x","")</f>
        <v/>
      </c>
      <c r="W354" s="38" t="str">
        <f>IF(AND(B354&gt;='IN-NX'!$P$3,B354&lt;='IN-NX'!$Q$3,'IN-NX'!$D$7=D354,OR(LEFT(L354,2)="15",AND(LEFT(M354,2)&lt;&gt;"15",LEFT(M354,2)&lt;&gt;"33"))),"x","")</f>
        <v/>
      </c>
      <c r="X354" s="38" t="str">
        <f>IF(AND(OR(LEFT(TH!L354,2)="15",LEFT(TH!M354,2)="15"),'152-CT'!$J$8=TH!F354),"x","")</f>
        <v/>
      </c>
      <c r="Y354" s="38" t="str">
        <f>IF(AND(OR(LEFT(TH!L354,2)="15",LEFT(TH!M354,2)="15"),TK!$E$7=TH!F354),"x","")</f>
        <v/>
      </c>
      <c r="Z354" s="38" t="str">
        <f>IF(AND(B354&lt;=NKC!$N$8,B354&gt;=NKC!$M$8),"x","")</f>
        <v/>
      </c>
      <c r="AA354" s="845"/>
      <c r="AB354" s="581"/>
    </row>
    <row r="355" spans="1:28" s="201" customFormat="1" ht="15.75" customHeight="1">
      <c r="A355" s="846" t="str">
        <f>IF(B355&lt;&gt;"",IF(AND(B355&gt;=_TM1,B355&lt;=_TM2,OR(TH!L355="1111",TH!M355="1111")),TH!D355,""),"")</f>
        <v/>
      </c>
      <c r="B355" s="36" t="str">
        <f t="shared" si="10"/>
        <v/>
      </c>
      <c r="C355" s="187"/>
      <c r="D355" s="187"/>
      <c r="E355" s="187"/>
      <c r="F355" s="39"/>
      <c r="G355" s="854"/>
      <c r="H355" s="189"/>
      <c r="I355" s="249"/>
      <c r="J355" s="249"/>
      <c r="K355" s="589"/>
      <c r="L355" s="590"/>
      <c r="M355" s="590"/>
      <c r="N355" s="38" t="str">
        <f>IF(AND('331-CT'!$E$7=TH!H355,OR(L355="331",M355="331")),"331",IF(AND(OR(L355="131",M355="131"),H355='131-CT'!$E$7),"131",""))</f>
        <v/>
      </c>
      <c r="O355" s="38" t="str">
        <f>IF(AND($B355&gt;='111'!$N$11,$B355&lt;='111'!$O$11,OR($L355=$O$7,$M355=$O$7)),"x","")</f>
        <v/>
      </c>
      <c r="P355" s="38" t="str">
        <f>IF(AND($L355=$O$7,$B355&lt;'111'!$N$11),"x","")</f>
        <v/>
      </c>
      <c r="Q355" s="38" t="str">
        <f>IF(AND($M355=$O$7,$B355&lt;'111'!$N$11),"x","")</f>
        <v/>
      </c>
      <c r="R355" s="38" t="str">
        <f>IF(ISERROR(FIND('112'!$M$9,G355,1)),"",IF((AND(FIND('112'!$M$9,G355,1)&gt;=1,$B355&gt;='112'!$N$8,$B355&lt;='112'!$O$8,OR($L355='112'!$I$6,$M355='112'!$I$6))),"x",""))</f>
        <v/>
      </c>
      <c r="S355" s="38" t="str">
        <f>IF(ISERROR(FIND('112'!$M$9,G355,1)),"",IF((AND(LEFT(G355,2)=LEFT('112'!$M$9,2),B355&lt;'112'!$N$8,$L355='112'!$I$6)),"x",""))</f>
        <v/>
      </c>
      <c r="T355" s="38" t="str">
        <f>IF(ISERROR(FIND('112'!$M$9,G355,1)),"",IF((AND(RIGHT(G355,2)=RIGHT('112'!$M$9,2),B355&lt;'112'!$N$8,$M355='112'!$I$6)),"x",""))</f>
        <v/>
      </c>
      <c r="U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38" t="str">
        <f>IF(OR(TH!L355=TH!$V$7,M355=TH!$V$7),"x","")</f>
        <v/>
      </c>
      <c r="W355" s="38" t="str">
        <f>IF(AND(B355&gt;='IN-NX'!$P$3,B355&lt;='IN-NX'!$Q$3,'IN-NX'!$D$7=D355,OR(LEFT(L355,2)="15",AND(LEFT(M355,2)&lt;&gt;"15",LEFT(M355,2)&lt;&gt;"33"))),"x","")</f>
        <v/>
      </c>
      <c r="X355" s="38" t="str">
        <f>IF(AND(OR(LEFT(TH!L355,2)="15",LEFT(TH!M355,2)="15"),'152-CT'!$J$8=TH!F355),"x","")</f>
        <v/>
      </c>
      <c r="Y355" s="38" t="str">
        <f>IF(AND(OR(LEFT(TH!L355,2)="15",LEFT(TH!M355,2)="15"),TK!$E$7=TH!F355),"x","")</f>
        <v/>
      </c>
      <c r="Z355" s="38" t="str">
        <f>IF(AND(B355&lt;=NKC!$N$8,B355&gt;=NKC!$M$8),"x","")</f>
        <v/>
      </c>
      <c r="AA355" s="845"/>
      <c r="AB355" s="581"/>
    </row>
    <row r="356" spans="1:28" s="201" customFormat="1" ht="15.75" customHeight="1">
      <c r="A356" s="846" t="str">
        <f>IF(B356&lt;&gt;"",IF(AND(B356&gt;=_TM1,B356&lt;=_TM2,OR(TH!L356="1111",TH!M356="1111")),TH!D356,""),"")</f>
        <v/>
      </c>
      <c r="B356" s="36" t="str">
        <f t="shared" si="10"/>
        <v/>
      </c>
      <c r="C356" s="187"/>
      <c r="D356" s="187"/>
      <c r="E356" s="187"/>
      <c r="F356" s="39"/>
      <c r="G356" s="854"/>
      <c r="H356" s="189"/>
      <c r="I356" s="249"/>
      <c r="J356" s="249"/>
      <c r="K356" s="589"/>
      <c r="L356" s="590"/>
      <c r="M356" s="590"/>
      <c r="N356" s="38" t="str">
        <f>IF(AND('331-CT'!$E$7=TH!H356,OR(L356="331",M356="331")),"331",IF(AND(OR(L356="131",M356="131"),H356='131-CT'!$E$7),"131",""))</f>
        <v/>
      </c>
      <c r="O356" s="38" t="str">
        <f>IF(AND($B356&gt;='111'!$N$11,$B356&lt;='111'!$O$11,OR($L356=$O$7,$M356=$O$7)),"x","")</f>
        <v/>
      </c>
      <c r="P356" s="38" t="str">
        <f>IF(AND($L356=$O$7,$B356&lt;'111'!$N$11),"x","")</f>
        <v/>
      </c>
      <c r="Q356" s="38" t="str">
        <f>IF(AND($M356=$O$7,$B356&lt;'111'!$N$11),"x","")</f>
        <v/>
      </c>
      <c r="R356" s="38" t="str">
        <f>IF(ISERROR(FIND('112'!$M$9,G356,1)),"",IF((AND(FIND('112'!$M$9,G356,1)&gt;=1,$B356&gt;='112'!$N$8,$B356&lt;='112'!$O$8,OR($L356='112'!$I$6,$M356='112'!$I$6))),"x",""))</f>
        <v/>
      </c>
      <c r="S356" s="38" t="str">
        <f>IF(ISERROR(FIND('112'!$M$9,G356,1)),"",IF((AND(LEFT(G356,2)=LEFT('112'!$M$9,2),B356&lt;'112'!$N$8,$L356='112'!$I$6)),"x",""))</f>
        <v/>
      </c>
      <c r="T356" s="38" t="str">
        <f>IF(ISERROR(FIND('112'!$M$9,G356,1)),"",IF((AND(RIGHT(G356,2)=RIGHT('112'!$M$9,2),B356&lt;'112'!$N$8,$M356='112'!$I$6)),"x",""))</f>
        <v/>
      </c>
      <c r="U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38" t="str">
        <f>IF(OR(TH!L356=TH!$V$7,M356=TH!$V$7),"x","")</f>
        <v/>
      </c>
      <c r="W356" s="38" t="str">
        <f>IF(AND(B356&gt;='IN-NX'!$P$3,B356&lt;='IN-NX'!$Q$3,'IN-NX'!$D$7=D356,OR(LEFT(L356,2)="15",AND(LEFT(M356,2)&lt;&gt;"15",LEFT(M356,2)&lt;&gt;"33"))),"x","")</f>
        <v/>
      </c>
      <c r="X356" s="38" t="str">
        <f>IF(AND(OR(LEFT(TH!L356,2)="15",LEFT(TH!M356,2)="15"),'152-CT'!$J$8=TH!F356),"x","")</f>
        <v/>
      </c>
      <c r="Y356" s="38" t="str">
        <f>IF(AND(OR(LEFT(TH!L356,2)="15",LEFT(TH!M356,2)="15"),TK!$E$7=TH!F356),"x","")</f>
        <v/>
      </c>
      <c r="Z356" s="38" t="str">
        <f>IF(AND(B356&lt;=NKC!$N$8,B356&gt;=NKC!$M$8),"x","")</f>
        <v/>
      </c>
      <c r="AA356" s="845"/>
      <c r="AB356" s="581"/>
    </row>
    <row r="357" spans="1:28" s="201" customFormat="1" ht="15.75" customHeight="1">
      <c r="A357" s="846" t="str">
        <f>IF(B357&lt;&gt;"",IF(AND(B357&gt;=_TM1,B357&lt;=_TM2,OR(TH!L357="1111",TH!M357="1111")),TH!D357,""),"")</f>
        <v/>
      </c>
      <c r="B357" s="36" t="str">
        <f t="shared" si="10"/>
        <v/>
      </c>
      <c r="C357" s="187"/>
      <c r="D357" s="187"/>
      <c r="E357" s="187"/>
      <c r="F357" s="39"/>
      <c r="G357" s="854"/>
      <c r="H357" s="189"/>
      <c r="I357" s="249"/>
      <c r="J357" s="249"/>
      <c r="K357" s="589"/>
      <c r="L357" s="590"/>
      <c r="M357" s="590"/>
      <c r="N357" s="38" t="str">
        <f>IF(AND('331-CT'!$E$7=TH!H357,OR(L357="331",M357="331")),"331",IF(AND(OR(L357="131",M357="131"),H357='131-CT'!$E$7),"131",""))</f>
        <v/>
      </c>
      <c r="O357" s="38" t="str">
        <f>IF(AND($B357&gt;='111'!$N$11,$B357&lt;='111'!$O$11,OR($L357=$O$7,$M357=$O$7)),"x","")</f>
        <v/>
      </c>
      <c r="P357" s="38" t="str">
        <f>IF(AND($L357=$O$7,$B357&lt;'111'!$N$11),"x","")</f>
        <v/>
      </c>
      <c r="Q357" s="38" t="str">
        <f>IF(AND($M357=$O$7,$B357&lt;'111'!$N$11),"x","")</f>
        <v/>
      </c>
      <c r="R357" s="38" t="str">
        <f>IF(ISERROR(FIND('112'!$M$9,G357,1)),"",IF((AND(FIND('112'!$M$9,G357,1)&gt;=1,$B357&gt;='112'!$N$8,$B357&lt;='112'!$O$8,OR($L357='112'!$I$6,$M357='112'!$I$6))),"x",""))</f>
        <v/>
      </c>
      <c r="S357" s="38" t="str">
        <f>IF(ISERROR(FIND('112'!$M$9,G357,1)),"",IF((AND(LEFT(G357,2)=LEFT('112'!$M$9,2),B357&lt;'112'!$N$8,$L357='112'!$I$6)),"x",""))</f>
        <v/>
      </c>
      <c r="T357" s="38" t="str">
        <f>IF(ISERROR(FIND('112'!$M$9,G357,1)),"",IF((AND(RIGHT(G357,2)=RIGHT('112'!$M$9,2),B357&lt;'112'!$N$8,$M357='112'!$I$6)),"x",""))</f>
        <v/>
      </c>
      <c r="U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38" t="str">
        <f>IF(OR(TH!L357=TH!$V$7,M357=TH!$V$7),"x","")</f>
        <v/>
      </c>
      <c r="W357" s="38" t="str">
        <f>IF(AND(B357&gt;='IN-NX'!$P$3,B357&lt;='IN-NX'!$Q$3,'IN-NX'!$D$7=D357,OR(LEFT(L357,2)="15",AND(LEFT(M357,2)&lt;&gt;"15",LEFT(M357,2)&lt;&gt;"33"))),"x","")</f>
        <v/>
      </c>
      <c r="X357" s="38" t="str">
        <f>IF(AND(OR(LEFT(TH!L357,2)="15",LEFT(TH!M357,2)="15"),'152-CT'!$J$8=TH!F357),"x","")</f>
        <v/>
      </c>
      <c r="Y357" s="38" t="str">
        <f>IF(AND(OR(LEFT(TH!L357,2)="15",LEFT(TH!M357,2)="15"),TK!$E$7=TH!F357),"x","")</f>
        <v/>
      </c>
      <c r="Z357" s="38" t="str">
        <f>IF(AND(B357&lt;=NKC!$N$8,B357&gt;=NKC!$M$8),"x","")</f>
        <v/>
      </c>
      <c r="AA357" s="845"/>
      <c r="AB357" s="581"/>
    </row>
    <row r="358" spans="1:28" s="201" customFormat="1" ht="15.75" customHeight="1">
      <c r="A358" s="846" t="str">
        <f>IF(B358&lt;&gt;"",IF(AND(B358&gt;=_TM1,B358&lt;=_TM2,OR(TH!L358="1111",TH!M358="1111")),TH!D358,""),"")</f>
        <v/>
      </c>
      <c r="B358" s="36" t="str">
        <f t="shared" si="10"/>
        <v/>
      </c>
      <c r="C358" s="187"/>
      <c r="D358" s="187"/>
      <c r="E358" s="187"/>
      <c r="F358" s="39"/>
      <c r="G358" s="854"/>
      <c r="H358" s="189"/>
      <c r="I358" s="249"/>
      <c r="J358" s="249"/>
      <c r="K358" s="589"/>
      <c r="L358" s="590"/>
      <c r="M358" s="590"/>
      <c r="N358" s="38" t="str">
        <f>IF(AND('331-CT'!$E$7=TH!H358,OR(L358="331",M358="331")),"331",IF(AND(OR(L358="131",M358="131"),H358='131-CT'!$E$7),"131",""))</f>
        <v/>
      </c>
      <c r="O358" s="38" t="str">
        <f>IF(AND($B358&gt;='111'!$N$11,$B358&lt;='111'!$O$11,OR($L358=$O$7,$M358=$O$7)),"x","")</f>
        <v/>
      </c>
      <c r="P358" s="38" t="str">
        <f>IF(AND($L358=$O$7,$B358&lt;'111'!$N$11),"x","")</f>
        <v/>
      </c>
      <c r="Q358" s="38" t="str">
        <f>IF(AND($M358=$O$7,$B358&lt;'111'!$N$11),"x","")</f>
        <v/>
      </c>
      <c r="R358" s="38" t="str">
        <f>IF(ISERROR(FIND('112'!$M$9,G358,1)),"",IF((AND(FIND('112'!$M$9,G358,1)&gt;=1,$B358&gt;='112'!$N$8,$B358&lt;='112'!$O$8,OR($L358='112'!$I$6,$M358='112'!$I$6))),"x",""))</f>
        <v/>
      </c>
      <c r="S358" s="38" t="str">
        <f>IF(ISERROR(FIND('112'!$M$9,G358,1)),"",IF((AND(LEFT(G358,2)=LEFT('112'!$M$9,2),B358&lt;'112'!$N$8,$L358='112'!$I$6)),"x",""))</f>
        <v/>
      </c>
      <c r="T358" s="38" t="str">
        <f>IF(ISERROR(FIND('112'!$M$9,G358,1)),"",IF((AND(RIGHT(G358,2)=RIGHT('112'!$M$9,2),B358&lt;'112'!$N$8,$M358='112'!$I$6)),"x",""))</f>
        <v/>
      </c>
      <c r="U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38" t="str">
        <f>IF(OR(TH!L358=TH!$V$7,M358=TH!$V$7),"x","")</f>
        <v/>
      </c>
      <c r="W358" s="38" t="str">
        <f>IF(AND(B358&gt;='IN-NX'!$P$3,B358&lt;='IN-NX'!$Q$3,'IN-NX'!$D$7=D358,OR(LEFT(L358,2)="15",AND(LEFT(M358,2)&lt;&gt;"15",LEFT(M358,2)&lt;&gt;"33"))),"x","")</f>
        <v/>
      </c>
      <c r="X358" s="38" t="str">
        <f>IF(AND(OR(LEFT(TH!L358,2)="15",LEFT(TH!M358,2)="15"),'152-CT'!$J$8=TH!F358),"x","")</f>
        <v/>
      </c>
      <c r="Y358" s="38" t="str">
        <f>IF(AND(OR(LEFT(TH!L358,2)="15",LEFT(TH!M358,2)="15"),TK!$E$7=TH!F358),"x","")</f>
        <v/>
      </c>
      <c r="Z358" s="38" t="str">
        <f>IF(AND(B358&lt;=NKC!$N$8,B358&gt;=NKC!$M$8),"x","")</f>
        <v/>
      </c>
      <c r="AA358" s="845"/>
      <c r="AB358" s="581"/>
    </row>
    <row r="359" spans="1:28" s="201" customFormat="1" ht="15.75" customHeight="1">
      <c r="A359" s="846" t="str">
        <f>IF(B359&lt;&gt;"",IF(AND(B359&gt;=_TM1,B359&lt;=_TM2,OR(TH!L359="1111",TH!M359="1111")),TH!D359,""),"")</f>
        <v/>
      </c>
      <c r="B359" s="36" t="str">
        <f t="shared" si="10"/>
        <v/>
      </c>
      <c r="C359" s="187"/>
      <c r="D359" s="187"/>
      <c r="E359" s="187"/>
      <c r="F359" s="39"/>
      <c r="G359" s="854"/>
      <c r="H359" s="189"/>
      <c r="I359" s="249"/>
      <c r="J359" s="249"/>
      <c r="K359" s="589"/>
      <c r="L359" s="590"/>
      <c r="M359" s="590"/>
      <c r="N359" s="38" t="str">
        <f>IF(AND('331-CT'!$E$7=TH!H359,OR(L359="331",M359="331")),"331",IF(AND(OR(L359="131",M359="131"),H359='131-CT'!$E$7),"131",""))</f>
        <v/>
      </c>
      <c r="O359" s="38" t="str">
        <f>IF(AND($B359&gt;='111'!$N$11,$B359&lt;='111'!$O$11,OR($L359=$O$7,$M359=$O$7)),"x","")</f>
        <v/>
      </c>
      <c r="P359" s="38" t="str">
        <f>IF(AND($L359=$O$7,$B359&lt;'111'!$N$11),"x","")</f>
        <v/>
      </c>
      <c r="Q359" s="38" t="str">
        <f>IF(AND($M359=$O$7,$B359&lt;'111'!$N$11),"x","")</f>
        <v/>
      </c>
      <c r="R359" s="38" t="str">
        <f>IF(ISERROR(FIND('112'!$M$9,G359,1)),"",IF((AND(FIND('112'!$M$9,G359,1)&gt;=1,$B359&gt;='112'!$N$8,$B359&lt;='112'!$O$8,OR($L359='112'!$I$6,$M359='112'!$I$6))),"x",""))</f>
        <v/>
      </c>
      <c r="S359" s="38" t="str">
        <f>IF(ISERROR(FIND('112'!$M$9,G359,1)),"",IF((AND(LEFT(G359,2)=LEFT('112'!$M$9,2),B359&lt;'112'!$N$8,$L359='112'!$I$6)),"x",""))</f>
        <v/>
      </c>
      <c r="T359" s="38" t="str">
        <f>IF(ISERROR(FIND('112'!$M$9,G359,1)),"",IF((AND(RIGHT(G359,2)=RIGHT('112'!$M$9,2),B359&lt;'112'!$N$8,$M359='112'!$I$6)),"x",""))</f>
        <v/>
      </c>
      <c r="U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38" t="str">
        <f>IF(OR(TH!L359=TH!$V$7,M359=TH!$V$7),"x","")</f>
        <v/>
      </c>
      <c r="W359" s="38" t="str">
        <f>IF(AND(B359&gt;='IN-NX'!$P$3,B359&lt;='IN-NX'!$Q$3,'IN-NX'!$D$7=D359,OR(LEFT(L359,2)="15",AND(LEFT(M359,2)&lt;&gt;"15",LEFT(M359,2)&lt;&gt;"33"))),"x","")</f>
        <v/>
      </c>
      <c r="X359" s="38" t="str">
        <f>IF(AND(OR(LEFT(TH!L359,2)="15",LEFT(TH!M359,2)="15"),'152-CT'!$J$8=TH!F359),"x","")</f>
        <v/>
      </c>
      <c r="Y359" s="38" t="str">
        <f>IF(AND(OR(LEFT(TH!L359,2)="15",LEFT(TH!M359,2)="15"),TK!$E$7=TH!F359),"x","")</f>
        <v/>
      </c>
      <c r="Z359" s="38" t="str">
        <f>IF(AND(B359&lt;=NKC!$N$8,B359&gt;=NKC!$M$8),"x","")</f>
        <v/>
      </c>
      <c r="AA359" s="845"/>
      <c r="AB359" s="581"/>
    </row>
    <row r="360" spans="1:28" s="201" customFormat="1" ht="15.75" customHeight="1">
      <c r="A360" s="846" t="str">
        <f>IF(B360&lt;&gt;"",IF(AND(B360&gt;=_TM1,B360&lt;=_TM2,OR(TH!L360="1111",TH!M360="1111")),TH!D360,""),"")</f>
        <v/>
      </c>
      <c r="B360" s="36" t="str">
        <f t="shared" si="10"/>
        <v/>
      </c>
      <c r="C360" s="187"/>
      <c r="D360" s="187"/>
      <c r="E360" s="187"/>
      <c r="F360" s="188"/>
      <c r="G360" s="854"/>
      <c r="H360" s="189"/>
      <c r="I360" s="249"/>
      <c r="J360" s="249"/>
      <c r="K360" s="589"/>
      <c r="L360" s="590"/>
      <c r="M360" s="590"/>
      <c r="N360" s="38" t="str">
        <f>IF(AND('331-CT'!$E$7=TH!H360,OR(L360="331",M360="331")),"331",IF(AND(OR(L360="131",M360="131"),H360='131-CT'!$E$7),"131",""))</f>
        <v/>
      </c>
      <c r="O360" s="38" t="str">
        <f>IF(AND($B360&gt;='111'!$N$11,$B360&lt;='111'!$O$11,OR($L360=$O$7,$M360=$O$7)),"x","")</f>
        <v/>
      </c>
      <c r="P360" s="38" t="str">
        <f>IF(AND($L360=$O$7,$B360&lt;'111'!$N$11),"x","")</f>
        <v/>
      </c>
      <c r="Q360" s="38" t="str">
        <f>IF(AND($M360=$O$7,$B360&lt;'111'!$N$11),"x","")</f>
        <v/>
      </c>
      <c r="R360" s="38" t="str">
        <f>IF(ISERROR(FIND('112'!$M$9,G360,1)),"",IF((AND(FIND('112'!$M$9,G360,1)&gt;=1,$B360&gt;='112'!$N$8,$B360&lt;='112'!$O$8,OR($L360='112'!$I$6,$M360='112'!$I$6))),"x",""))</f>
        <v/>
      </c>
      <c r="S360" s="38" t="str">
        <f>IF(ISERROR(FIND('112'!$M$9,G360,1)),"",IF((AND(LEFT(G360,2)=LEFT('112'!$M$9,2),B360&lt;'112'!$N$8,$L360='112'!$I$6)),"x",""))</f>
        <v/>
      </c>
      <c r="T360" s="38" t="str">
        <f>IF(ISERROR(FIND('112'!$M$9,G360,1)),"",IF((AND(RIGHT(G360,2)=RIGHT('112'!$M$9,2),B360&lt;'112'!$N$8,$M360='112'!$I$6)),"x",""))</f>
        <v/>
      </c>
      <c r="U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38" t="str">
        <f>IF(OR(TH!L360=TH!$V$7,M360=TH!$V$7),"x","")</f>
        <v/>
      </c>
      <c r="W360" s="38" t="str">
        <f>IF(AND(B360&gt;='IN-NX'!$P$3,B360&lt;='IN-NX'!$Q$3,'IN-NX'!$D$7=D360,OR(LEFT(L360,2)="15",AND(LEFT(M360,2)&lt;&gt;"15",LEFT(M360,2)&lt;&gt;"33"))),"x","")</f>
        <v/>
      </c>
      <c r="X360" s="38" t="str">
        <f>IF(AND(OR(LEFT(TH!L360,2)="15",LEFT(TH!M360,2)="15"),'152-CT'!$J$8=TH!F360),"x","")</f>
        <v/>
      </c>
      <c r="Y360" s="38" t="str">
        <f>IF(AND(OR(LEFT(TH!L360,2)="15",LEFT(TH!M360,2)="15"),TK!$E$7=TH!F360),"x","")</f>
        <v/>
      </c>
      <c r="Z360" s="38" t="str">
        <f>IF(AND(B360&lt;=NKC!$N$8,B360&gt;=NKC!$M$8),"x","")</f>
        <v/>
      </c>
      <c r="AA360" s="845"/>
      <c r="AB360" s="581"/>
    </row>
    <row r="361" spans="1:28" s="201" customFormat="1" ht="15.75" customHeight="1">
      <c r="A361" s="846" t="str">
        <f>IF(B361&lt;&gt;"",IF(AND(B361&gt;=_TM1,B361&lt;=_TM2,OR(TH!L361="1111",TH!M361="1111")),TH!D361,""),"")</f>
        <v/>
      </c>
      <c r="B361" s="36" t="str">
        <f t="shared" si="10"/>
        <v/>
      </c>
      <c r="C361" s="187"/>
      <c r="D361" s="187"/>
      <c r="E361" s="187"/>
      <c r="F361" s="188"/>
      <c r="G361" s="854"/>
      <c r="H361" s="189"/>
      <c r="I361" s="249"/>
      <c r="J361" s="249"/>
      <c r="K361" s="589"/>
      <c r="L361" s="590"/>
      <c r="M361" s="590"/>
      <c r="N361" s="38" t="str">
        <f>IF(AND('331-CT'!$E$7=TH!H361,OR(L361="331",M361="331")),"331",IF(AND(OR(L361="131",M361="131"),H361='131-CT'!$E$7),"131",""))</f>
        <v/>
      </c>
      <c r="O361" s="38" t="str">
        <f>IF(AND($B361&gt;='111'!$N$11,$B361&lt;='111'!$O$11,OR($L361=$O$7,$M361=$O$7)),"x","")</f>
        <v/>
      </c>
      <c r="P361" s="38" t="str">
        <f>IF(AND($L361=$O$7,$B361&lt;'111'!$N$11),"x","")</f>
        <v/>
      </c>
      <c r="Q361" s="38" t="str">
        <f>IF(AND($M361=$O$7,$B361&lt;'111'!$N$11),"x","")</f>
        <v/>
      </c>
      <c r="R361" s="38" t="str">
        <f>IF(ISERROR(FIND('112'!$M$9,G361,1)),"",IF((AND(FIND('112'!$M$9,G361,1)&gt;=1,$B361&gt;='112'!$N$8,$B361&lt;='112'!$O$8,OR($L361='112'!$I$6,$M361='112'!$I$6))),"x",""))</f>
        <v/>
      </c>
      <c r="S361" s="38" t="str">
        <f>IF(ISERROR(FIND('112'!$M$9,G361,1)),"",IF((AND(LEFT(G361,2)=LEFT('112'!$M$9,2),B361&lt;'112'!$N$8,$L361='112'!$I$6)),"x",""))</f>
        <v/>
      </c>
      <c r="T361" s="38" t="str">
        <f>IF(ISERROR(FIND('112'!$M$9,G361,1)),"",IF((AND(RIGHT(G361,2)=RIGHT('112'!$M$9,2),B361&lt;'112'!$N$8,$M361='112'!$I$6)),"x",""))</f>
        <v/>
      </c>
      <c r="U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38" t="str">
        <f>IF(OR(TH!L361=TH!$V$7,M361=TH!$V$7),"x","")</f>
        <v/>
      </c>
      <c r="W361" s="38" t="str">
        <f>IF(AND(B361&gt;='IN-NX'!$P$3,B361&lt;='IN-NX'!$Q$3,'IN-NX'!$D$7=D361,OR(LEFT(L361,2)="15",AND(LEFT(M361,2)&lt;&gt;"15",LEFT(M361,2)&lt;&gt;"33"))),"x","")</f>
        <v/>
      </c>
      <c r="X361" s="38" t="str">
        <f>IF(AND(OR(LEFT(TH!L361,2)="15",LEFT(TH!M361,2)="15"),'152-CT'!$J$8=TH!F361),"x","")</f>
        <v/>
      </c>
      <c r="Y361" s="38" t="str">
        <f>IF(AND(OR(LEFT(TH!L361,2)="15",LEFT(TH!M361,2)="15"),TK!$E$7=TH!F361),"x","")</f>
        <v/>
      </c>
      <c r="Z361" s="38" t="str">
        <f>IF(AND(B361&lt;=NKC!$N$8,B361&gt;=NKC!$M$8),"x","")</f>
        <v/>
      </c>
      <c r="AA361" s="845"/>
      <c r="AB361" s="581"/>
    </row>
    <row r="362" spans="1:28" s="201" customFormat="1" ht="15.75" customHeight="1">
      <c r="A362" s="846" t="str">
        <f>IF(B362&lt;&gt;"",IF(AND(B362&gt;=_TM1,B362&lt;=_TM2,OR(TH!L362="1111",TH!M362="1111")),TH!D362,""),"")</f>
        <v/>
      </c>
      <c r="B362" s="36" t="str">
        <f t="shared" si="10"/>
        <v/>
      </c>
      <c r="C362" s="187"/>
      <c r="D362" s="187"/>
      <c r="E362" s="187"/>
      <c r="F362" s="188"/>
      <c r="G362" s="854"/>
      <c r="H362" s="189"/>
      <c r="I362" s="249"/>
      <c r="J362" s="249"/>
      <c r="K362" s="589"/>
      <c r="L362" s="590"/>
      <c r="M362" s="590"/>
      <c r="N362" s="38" t="str">
        <f>IF(AND('331-CT'!$E$7=TH!H362,OR(L362="331",M362="331")),"331",IF(AND(OR(L362="131",M362="131"),H362='131-CT'!$E$7),"131",""))</f>
        <v/>
      </c>
      <c r="O362" s="38" t="str">
        <f>IF(AND($B362&gt;='111'!$N$11,$B362&lt;='111'!$O$11,OR($L362=$O$7,$M362=$O$7)),"x","")</f>
        <v/>
      </c>
      <c r="P362" s="38" t="str">
        <f>IF(AND($L362=$O$7,$B362&lt;'111'!$N$11),"x","")</f>
        <v/>
      </c>
      <c r="Q362" s="38" t="str">
        <f>IF(AND($M362=$O$7,$B362&lt;'111'!$N$11),"x","")</f>
        <v/>
      </c>
      <c r="R362" s="38" t="str">
        <f>IF(ISERROR(FIND('112'!$M$9,G362,1)),"",IF((AND(FIND('112'!$M$9,G362,1)&gt;=1,$B362&gt;='112'!$N$8,$B362&lt;='112'!$O$8,OR($L362='112'!$I$6,$M362='112'!$I$6))),"x",""))</f>
        <v/>
      </c>
      <c r="S362" s="38" t="str">
        <f>IF(ISERROR(FIND('112'!$M$9,G362,1)),"",IF((AND(LEFT(G362,2)=LEFT('112'!$M$9,2),B362&lt;'112'!$N$8,$L362='112'!$I$6)),"x",""))</f>
        <v/>
      </c>
      <c r="T362" s="38" t="str">
        <f>IF(ISERROR(FIND('112'!$M$9,G362,1)),"",IF((AND(RIGHT(G362,2)=RIGHT('112'!$M$9,2),B362&lt;'112'!$N$8,$M362='112'!$I$6)),"x",""))</f>
        <v/>
      </c>
      <c r="U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38" t="str">
        <f>IF(OR(TH!L362=TH!$V$7,M362=TH!$V$7),"x","")</f>
        <v/>
      </c>
      <c r="W362" s="38" t="str">
        <f>IF(AND(B362&gt;='IN-NX'!$P$3,B362&lt;='IN-NX'!$Q$3,'IN-NX'!$D$7=D362,OR(LEFT(L362,2)="15",AND(LEFT(M362,2)&lt;&gt;"15",LEFT(M362,2)&lt;&gt;"33"))),"x","")</f>
        <v/>
      </c>
      <c r="X362" s="38" t="str">
        <f>IF(AND(OR(LEFT(TH!L362,2)="15",LEFT(TH!M362,2)="15"),'152-CT'!$J$8=TH!F362),"x","")</f>
        <v/>
      </c>
      <c r="Y362" s="38" t="str">
        <f>IF(AND(OR(LEFT(TH!L362,2)="15",LEFT(TH!M362,2)="15"),TK!$E$7=TH!F362),"x","")</f>
        <v/>
      </c>
      <c r="Z362" s="38" t="str">
        <f>IF(AND(B362&lt;=NKC!$N$8,B362&gt;=NKC!$M$8),"x","")</f>
        <v/>
      </c>
      <c r="AA362" s="845"/>
      <c r="AB362" s="581"/>
    </row>
    <row r="363" spans="1:28" s="201" customFormat="1" ht="15.75" customHeight="1">
      <c r="A363" s="846" t="str">
        <f>IF(B363&lt;&gt;"",IF(AND(B363&gt;=_TM1,B363&lt;=_TM2,OR(TH!L363="1111",TH!M363="1111")),TH!D363,""),"")</f>
        <v/>
      </c>
      <c r="B363" s="36" t="str">
        <f t="shared" si="10"/>
        <v/>
      </c>
      <c r="C363" s="187"/>
      <c r="D363" s="187"/>
      <c r="E363" s="187"/>
      <c r="F363" s="188"/>
      <c r="G363" s="854"/>
      <c r="H363" s="189"/>
      <c r="I363" s="249"/>
      <c r="J363" s="249"/>
      <c r="K363" s="589"/>
      <c r="L363" s="590"/>
      <c r="M363" s="590"/>
      <c r="N363" s="38" t="str">
        <f>IF(AND('331-CT'!$E$7=TH!H363,OR(L363="331",M363="331")),"331",IF(AND(OR(L363="131",M363="131"),H363='131-CT'!$E$7),"131",""))</f>
        <v/>
      </c>
      <c r="O363" s="38" t="str">
        <f>IF(AND($B363&gt;='111'!$N$11,$B363&lt;='111'!$O$11,OR($L363=$O$7,$M363=$O$7)),"x","")</f>
        <v/>
      </c>
      <c r="P363" s="38" t="str">
        <f>IF(AND($L363=$O$7,$B363&lt;'111'!$N$11),"x","")</f>
        <v/>
      </c>
      <c r="Q363" s="38" t="str">
        <f>IF(AND($M363=$O$7,$B363&lt;'111'!$N$11),"x","")</f>
        <v/>
      </c>
      <c r="R363" s="38" t="str">
        <f>IF(ISERROR(FIND('112'!$M$9,G363,1)),"",IF((AND(FIND('112'!$M$9,G363,1)&gt;=1,$B363&gt;='112'!$N$8,$B363&lt;='112'!$O$8,OR($L363='112'!$I$6,$M363='112'!$I$6))),"x",""))</f>
        <v/>
      </c>
      <c r="S363" s="38" t="str">
        <f>IF(ISERROR(FIND('112'!$M$9,G363,1)),"",IF((AND(LEFT(G363,2)=LEFT('112'!$M$9,2),B363&lt;'112'!$N$8,$L363='112'!$I$6)),"x",""))</f>
        <v/>
      </c>
      <c r="T363" s="38" t="str">
        <f>IF(ISERROR(FIND('112'!$M$9,G363,1)),"",IF((AND(RIGHT(G363,2)=RIGHT('112'!$M$9,2),B363&lt;'112'!$N$8,$M363='112'!$I$6)),"x",""))</f>
        <v/>
      </c>
      <c r="U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38" t="str">
        <f>IF(OR(TH!L363=TH!$V$7,M363=TH!$V$7),"x","")</f>
        <v/>
      </c>
      <c r="W363" s="38" t="str">
        <f>IF(AND(B363&gt;='IN-NX'!$P$3,B363&lt;='IN-NX'!$Q$3,'IN-NX'!$D$7=D363,OR(LEFT(L363,2)="15",AND(LEFT(M363,2)&lt;&gt;"15",LEFT(M363,2)&lt;&gt;"33"))),"x","")</f>
        <v/>
      </c>
      <c r="X363" s="38" t="str">
        <f>IF(AND(OR(LEFT(TH!L363,2)="15",LEFT(TH!M363,2)="15"),'152-CT'!$J$8=TH!F363),"x","")</f>
        <v/>
      </c>
      <c r="Y363" s="38" t="str">
        <f>IF(AND(OR(LEFT(TH!L363,2)="15",LEFT(TH!M363,2)="15"),TK!$E$7=TH!F363),"x","")</f>
        <v/>
      </c>
      <c r="Z363" s="38" t="str">
        <f>IF(AND(B363&lt;=NKC!$N$8,B363&gt;=NKC!$M$8),"x","")</f>
        <v/>
      </c>
      <c r="AA363" s="845"/>
      <c r="AB363" s="581"/>
    </row>
    <row r="364" spans="1:28" s="201" customFormat="1" ht="15.75" customHeight="1">
      <c r="A364" s="846" t="str">
        <f>IF(B364&lt;&gt;"",IF(AND(B364&gt;=_TM1,B364&lt;=_TM2,OR(TH!L364="1111",TH!M364="1111")),TH!D364,""),"")</f>
        <v/>
      </c>
      <c r="B364" s="36" t="str">
        <f t="shared" si="10"/>
        <v/>
      </c>
      <c r="C364" s="187"/>
      <c r="D364" s="187"/>
      <c r="E364" s="187"/>
      <c r="F364" s="188"/>
      <c r="G364" s="854"/>
      <c r="H364" s="189"/>
      <c r="I364" s="249"/>
      <c r="J364" s="249"/>
      <c r="K364" s="589"/>
      <c r="L364" s="590"/>
      <c r="M364" s="590"/>
      <c r="N364" s="38" t="str">
        <f>IF(AND('331-CT'!$E$7=TH!H364,OR(L364="331",M364="331")),"331",IF(AND(OR(L364="131",M364="131"),H364='131-CT'!$E$7),"131",""))</f>
        <v/>
      </c>
      <c r="O364" s="38" t="str">
        <f>IF(AND($B364&gt;='111'!$N$11,$B364&lt;='111'!$O$11,OR($L364=$O$7,$M364=$O$7)),"x","")</f>
        <v/>
      </c>
      <c r="P364" s="38" t="str">
        <f>IF(AND($L364=$O$7,$B364&lt;'111'!$N$11),"x","")</f>
        <v/>
      </c>
      <c r="Q364" s="38" t="str">
        <f>IF(AND($M364=$O$7,$B364&lt;'111'!$N$11),"x","")</f>
        <v/>
      </c>
      <c r="R364" s="38" t="str">
        <f>IF(ISERROR(FIND('112'!$M$9,G364,1)),"",IF((AND(FIND('112'!$M$9,G364,1)&gt;=1,$B364&gt;='112'!$N$8,$B364&lt;='112'!$O$8,OR($L364='112'!$I$6,$M364='112'!$I$6))),"x",""))</f>
        <v/>
      </c>
      <c r="S364" s="38" t="str">
        <f>IF(ISERROR(FIND('112'!$M$9,G364,1)),"",IF((AND(LEFT(G364,2)=LEFT('112'!$M$9,2),B364&lt;'112'!$N$8,$L364='112'!$I$6)),"x",""))</f>
        <v/>
      </c>
      <c r="T364" s="38" t="str">
        <f>IF(ISERROR(FIND('112'!$M$9,G364,1)),"",IF((AND(RIGHT(G364,2)=RIGHT('112'!$M$9,2),B364&lt;'112'!$N$8,$M364='112'!$I$6)),"x",""))</f>
        <v/>
      </c>
      <c r="U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38" t="str">
        <f>IF(OR(TH!L364=TH!$V$7,M364=TH!$V$7),"x","")</f>
        <v/>
      </c>
      <c r="W364" s="38" t="str">
        <f>IF(AND(B364&gt;='IN-NX'!$P$3,B364&lt;='IN-NX'!$Q$3,'IN-NX'!$D$7=D364,OR(LEFT(L364,2)="15",AND(LEFT(M364,2)&lt;&gt;"15",LEFT(M364,2)&lt;&gt;"33"))),"x","")</f>
        <v/>
      </c>
      <c r="X364" s="38" t="str">
        <f>IF(AND(OR(LEFT(TH!L364,2)="15",LEFT(TH!M364,2)="15"),'152-CT'!$J$8=TH!F364),"x","")</f>
        <v/>
      </c>
      <c r="Y364" s="38" t="str">
        <f>IF(AND(OR(LEFT(TH!L364,2)="15",LEFT(TH!M364,2)="15"),TK!$E$7=TH!F364),"x","")</f>
        <v/>
      </c>
      <c r="Z364" s="38" t="str">
        <f>IF(AND(B364&lt;=NKC!$N$8,B364&gt;=NKC!$M$8),"x","")</f>
        <v/>
      </c>
      <c r="AA364" s="845"/>
      <c r="AB364" s="581"/>
    </row>
    <row r="365" spans="1:28" s="201" customFormat="1" ht="15.75" customHeight="1">
      <c r="A365" s="846" t="str">
        <f>IF(B365&lt;&gt;"",IF(AND(B365&gt;=_TM1,B365&lt;=_TM2,OR(TH!L365="1111",TH!M365="1111")),TH!D365,""),"")</f>
        <v/>
      </c>
      <c r="B365" s="36" t="str">
        <f t="shared" si="10"/>
        <v/>
      </c>
      <c r="C365" s="187"/>
      <c r="D365" s="187"/>
      <c r="E365" s="187"/>
      <c r="F365" s="188"/>
      <c r="G365" s="854"/>
      <c r="H365" s="189"/>
      <c r="I365" s="249"/>
      <c r="J365" s="249"/>
      <c r="K365" s="589"/>
      <c r="L365" s="590"/>
      <c r="M365" s="590"/>
      <c r="N365" s="38" t="str">
        <f>IF(AND('331-CT'!$E$7=TH!H365,OR(L365="331",M365="331")),"331",IF(AND(OR(L365="131",M365="131"),H365='131-CT'!$E$7),"131",""))</f>
        <v/>
      </c>
      <c r="O365" s="38" t="str">
        <f>IF(AND($B365&gt;='111'!$N$11,$B365&lt;='111'!$O$11,OR($L365=$O$7,$M365=$O$7)),"x","")</f>
        <v/>
      </c>
      <c r="P365" s="38" t="str">
        <f>IF(AND($L365=$O$7,$B365&lt;'111'!$N$11),"x","")</f>
        <v/>
      </c>
      <c r="Q365" s="38" t="str">
        <f>IF(AND($M365=$O$7,$B365&lt;'111'!$N$11),"x","")</f>
        <v/>
      </c>
      <c r="R365" s="38" t="str">
        <f>IF(ISERROR(FIND('112'!$M$9,G365,1)),"",IF((AND(FIND('112'!$M$9,G365,1)&gt;=1,$B365&gt;='112'!$N$8,$B365&lt;='112'!$O$8,OR($L365='112'!$I$6,$M365='112'!$I$6))),"x",""))</f>
        <v/>
      </c>
      <c r="S365" s="38" t="str">
        <f>IF(ISERROR(FIND('112'!$M$9,G365,1)),"",IF((AND(LEFT(G365,2)=LEFT('112'!$M$9,2),B365&lt;'112'!$N$8,$L365='112'!$I$6)),"x",""))</f>
        <v/>
      </c>
      <c r="T365" s="38" t="str">
        <f>IF(ISERROR(FIND('112'!$M$9,G365,1)),"",IF((AND(RIGHT(G365,2)=RIGHT('112'!$M$9,2),B365&lt;'112'!$N$8,$M365='112'!$I$6)),"x",""))</f>
        <v/>
      </c>
      <c r="U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38" t="str">
        <f>IF(OR(TH!L365=TH!$V$7,M365=TH!$V$7),"x","")</f>
        <v/>
      </c>
      <c r="W365" s="38" t="str">
        <f>IF(AND(B365&gt;='IN-NX'!$P$3,B365&lt;='IN-NX'!$Q$3,'IN-NX'!$D$7=D365,OR(LEFT(L365,2)="15",AND(LEFT(M365,2)&lt;&gt;"15",LEFT(M365,2)&lt;&gt;"33"))),"x","")</f>
        <v/>
      </c>
      <c r="X365" s="38" t="str">
        <f>IF(AND(OR(LEFT(TH!L365,2)="15",LEFT(TH!M365,2)="15"),'152-CT'!$J$8=TH!F365),"x","")</f>
        <v/>
      </c>
      <c r="Y365" s="38" t="str">
        <f>IF(AND(OR(LEFT(TH!L365,2)="15",LEFT(TH!M365,2)="15"),TK!$E$7=TH!F365),"x","")</f>
        <v/>
      </c>
      <c r="Z365" s="38" t="str">
        <f>IF(AND(B365&lt;=NKC!$N$8,B365&gt;=NKC!$M$8),"x","")</f>
        <v/>
      </c>
      <c r="AA365" s="845"/>
      <c r="AB365" s="581"/>
    </row>
    <row r="366" spans="1:28" s="201" customFormat="1" ht="15.75" customHeight="1">
      <c r="A366" s="846" t="str">
        <f>IF(B366&lt;&gt;"",IF(AND(B366&gt;=_TM1,B366&lt;=_TM2,OR(TH!L366="1111",TH!M366="1111")),TH!D366,""),"")</f>
        <v/>
      </c>
      <c r="B366" s="36" t="str">
        <f t="shared" si="10"/>
        <v/>
      </c>
      <c r="C366" s="187"/>
      <c r="D366" s="187"/>
      <c r="E366" s="187"/>
      <c r="F366" s="188"/>
      <c r="G366" s="854"/>
      <c r="H366" s="189"/>
      <c r="I366" s="249"/>
      <c r="J366" s="249"/>
      <c r="K366" s="589"/>
      <c r="L366" s="590"/>
      <c r="M366" s="590"/>
      <c r="N366" s="38" t="str">
        <f>IF(AND('331-CT'!$E$7=TH!H366,OR(L366="331",M366="331")),"331",IF(AND(OR(L366="131",M366="131"),H366='131-CT'!$E$7),"131",""))</f>
        <v/>
      </c>
      <c r="O366" s="38" t="str">
        <f>IF(AND($B366&gt;='111'!$N$11,$B366&lt;='111'!$O$11,OR($L366=$O$7,$M366=$O$7)),"x","")</f>
        <v/>
      </c>
      <c r="P366" s="38" t="str">
        <f>IF(AND($L366=$O$7,$B366&lt;'111'!$N$11),"x","")</f>
        <v/>
      </c>
      <c r="Q366" s="38" t="str">
        <f>IF(AND($M366=$O$7,$B366&lt;'111'!$N$11),"x","")</f>
        <v/>
      </c>
      <c r="R366" s="38" t="str">
        <f>IF(ISERROR(FIND('112'!$M$9,G366,1)),"",IF((AND(FIND('112'!$M$9,G366,1)&gt;=1,$B366&gt;='112'!$N$8,$B366&lt;='112'!$O$8,OR($L366='112'!$I$6,$M366='112'!$I$6))),"x",""))</f>
        <v/>
      </c>
      <c r="S366" s="38" t="str">
        <f>IF(ISERROR(FIND('112'!$M$9,G366,1)),"",IF((AND(LEFT(G366,2)=LEFT('112'!$M$9,2),B366&lt;'112'!$N$8,$L366='112'!$I$6)),"x",""))</f>
        <v/>
      </c>
      <c r="T366" s="38" t="str">
        <f>IF(ISERROR(FIND('112'!$M$9,G366,1)),"",IF((AND(RIGHT(G366,2)=RIGHT('112'!$M$9,2),B366&lt;'112'!$N$8,$M366='112'!$I$6)),"x",""))</f>
        <v/>
      </c>
      <c r="U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38" t="str">
        <f>IF(OR(TH!L366=TH!$V$7,M366=TH!$V$7),"x","")</f>
        <v/>
      </c>
      <c r="W366" s="38" t="str">
        <f>IF(AND(B366&gt;='IN-NX'!$P$3,B366&lt;='IN-NX'!$Q$3,'IN-NX'!$D$7=D366,OR(LEFT(L366,2)="15",AND(LEFT(M366,2)&lt;&gt;"15",LEFT(M366,2)&lt;&gt;"33"))),"x","")</f>
        <v/>
      </c>
      <c r="X366" s="38" t="str">
        <f>IF(AND(OR(LEFT(TH!L366,2)="15",LEFT(TH!M366,2)="15"),'152-CT'!$J$8=TH!F366),"x","")</f>
        <v/>
      </c>
      <c r="Y366" s="38" t="str">
        <f>IF(AND(OR(LEFT(TH!L366,2)="15",LEFT(TH!M366,2)="15"),TK!$E$7=TH!F366),"x","")</f>
        <v/>
      </c>
      <c r="Z366" s="38" t="str">
        <f>IF(AND(B366&lt;=NKC!$N$8,B366&gt;=NKC!$M$8),"x","")</f>
        <v/>
      </c>
      <c r="AA366" s="845"/>
      <c r="AB366" s="581"/>
    </row>
    <row r="367" spans="1:28" s="201" customFormat="1" ht="15.75" customHeight="1">
      <c r="A367" s="846" t="str">
        <f>IF(B367&lt;&gt;"",IF(AND(B367&gt;=_TM1,B367&lt;=_TM2,OR(TH!L367="1111",TH!M367="1111")),TH!D367,""),"")</f>
        <v/>
      </c>
      <c r="B367" s="36" t="str">
        <f t="shared" si="10"/>
        <v/>
      </c>
      <c r="C367" s="187"/>
      <c r="D367" s="187"/>
      <c r="E367" s="187"/>
      <c r="F367" s="185"/>
      <c r="G367" s="854"/>
      <c r="H367" s="189"/>
      <c r="I367" s="249"/>
      <c r="J367" s="249"/>
      <c r="K367" s="589"/>
      <c r="L367" s="590"/>
      <c r="M367" s="590"/>
      <c r="N367" s="38" t="str">
        <f>IF(AND('331-CT'!$E$7=TH!H367,OR(L367="331",M367="331")),"331",IF(AND(OR(L367="131",M367="131"),H367='131-CT'!$E$7),"131",""))</f>
        <v/>
      </c>
      <c r="O367" s="38" t="str">
        <f>IF(AND($B367&gt;='111'!$N$11,$B367&lt;='111'!$O$11,OR($L367=$O$7,$M367=$O$7)),"x","")</f>
        <v/>
      </c>
      <c r="P367" s="38" t="str">
        <f>IF(AND($L367=$O$7,$B367&lt;'111'!$N$11),"x","")</f>
        <v/>
      </c>
      <c r="Q367" s="38" t="str">
        <f>IF(AND($M367=$O$7,$B367&lt;'111'!$N$11),"x","")</f>
        <v/>
      </c>
      <c r="R367" s="38" t="str">
        <f>IF(ISERROR(FIND('112'!$M$9,G367,1)),"",IF((AND(FIND('112'!$M$9,G367,1)&gt;=1,$B367&gt;='112'!$N$8,$B367&lt;='112'!$O$8,OR($L367='112'!$I$6,$M367='112'!$I$6))),"x",""))</f>
        <v/>
      </c>
      <c r="S367" s="38" t="str">
        <f>IF(ISERROR(FIND('112'!$M$9,G367,1)),"",IF((AND(LEFT(G367,2)=LEFT('112'!$M$9,2),B367&lt;'112'!$N$8,$L367='112'!$I$6)),"x",""))</f>
        <v/>
      </c>
      <c r="T367" s="38" t="str">
        <f>IF(ISERROR(FIND('112'!$M$9,G367,1)),"",IF((AND(RIGHT(G367,2)=RIGHT('112'!$M$9,2),B367&lt;'112'!$N$8,$M367='112'!$I$6)),"x",""))</f>
        <v/>
      </c>
      <c r="U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38" t="str">
        <f>IF(OR(TH!L367=TH!$V$7,M367=TH!$V$7),"x","")</f>
        <v/>
      </c>
      <c r="W367" s="38" t="str">
        <f>IF(AND(B367&gt;='IN-NX'!$P$3,B367&lt;='IN-NX'!$Q$3,'IN-NX'!$D$7=D367,OR(LEFT(L367,2)="15",AND(LEFT(M367,2)&lt;&gt;"15",LEFT(M367,2)&lt;&gt;"33"))),"x","")</f>
        <v/>
      </c>
      <c r="X367" s="38" t="str">
        <f>IF(AND(OR(LEFT(TH!L367,2)="15",LEFT(TH!M367,2)="15"),'152-CT'!$J$8=TH!F367),"x","")</f>
        <v/>
      </c>
      <c r="Y367" s="38" t="str">
        <f>IF(AND(OR(LEFT(TH!L367,2)="15",LEFT(TH!M367,2)="15"),TK!$E$7=TH!F367),"x","")</f>
        <v/>
      </c>
      <c r="Z367" s="38" t="str">
        <f>IF(AND(B367&lt;=NKC!$N$8,B367&gt;=NKC!$M$8),"x","")</f>
        <v/>
      </c>
      <c r="AA367" s="845"/>
      <c r="AB367" s="581"/>
    </row>
    <row r="368" spans="1:28" s="201" customFormat="1" ht="15.75" customHeight="1">
      <c r="A368" s="846" t="str">
        <f>IF(B368&lt;&gt;"",IF(AND(B368&gt;=_TM1,B368&lt;=_TM2,OR(TH!L368="1111",TH!M368="1111")),TH!D368,""),"")</f>
        <v/>
      </c>
      <c r="B368" s="36" t="str">
        <f t="shared" si="10"/>
        <v/>
      </c>
      <c r="C368" s="187"/>
      <c r="D368" s="187"/>
      <c r="E368" s="187"/>
      <c r="F368" s="188"/>
      <c r="G368" s="854"/>
      <c r="H368" s="189"/>
      <c r="I368" s="249"/>
      <c r="J368" s="249"/>
      <c r="K368" s="589"/>
      <c r="L368" s="590"/>
      <c r="M368" s="590"/>
      <c r="N368" s="38" t="str">
        <f>IF(AND('331-CT'!$E$7=TH!H368,OR(L368="331",M368="331")),"331",IF(AND(OR(L368="131",M368="131"),H368='131-CT'!$E$7),"131",""))</f>
        <v/>
      </c>
      <c r="O368" s="38" t="str">
        <f>IF(AND($B368&gt;='111'!$N$11,$B368&lt;='111'!$O$11,OR($L368=$O$7,$M368=$O$7)),"x","")</f>
        <v/>
      </c>
      <c r="P368" s="38" t="str">
        <f>IF(AND($L368=$O$7,$B368&lt;'111'!$N$11),"x","")</f>
        <v/>
      </c>
      <c r="Q368" s="38" t="str">
        <f>IF(AND($M368=$O$7,$B368&lt;'111'!$N$11),"x","")</f>
        <v/>
      </c>
      <c r="R368" s="38" t="str">
        <f>IF(ISERROR(FIND('112'!$M$9,G368,1)),"",IF((AND(FIND('112'!$M$9,G368,1)&gt;=1,$B368&gt;='112'!$N$8,$B368&lt;='112'!$O$8,OR($L368='112'!$I$6,$M368='112'!$I$6))),"x",""))</f>
        <v/>
      </c>
      <c r="S368" s="38" t="str">
        <f>IF(ISERROR(FIND('112'!$M$9,G368,1)),"",IF((AND(LEFT(G368,2)=LEFT('112'!$M$9,2),B368&lt;'112'!$N$8,$L368='112'!$I$6)),"x",""))</f>
        <v/>
      </c>
      <c r="T368" s="38" t="str">
        <f>IF(ISERROR(FIND('112'!$M$9,G368,1)),"",IF((AND(RIGHT(G368,2)=RIGHT('112'!$M$9,2),B368&lt;'112'!$N$8,$M368='112'!$I$6)),"x",""))</f>
        <v/>
      </c>
      <c r="U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38" t="str">
        <f>IF(OR(TH!L368=TH!$V$7,M368=TH!$V$7),"x","")</f>
        <v/>
      </c>
      <c r="W368" s="38" t="str">
        <f>IF(AND(B368&gt;='IN-NX'!$P$3,B368&lt;='IN-NX'!$Q$3,'IN-NX'!$D$7=D368,OR(LEFT(L368,2)="15",AND(LEFT(M368,2)&lt;&gt;"15",LEFT(M368,2)&lt;&gt;"33"))),"x","")</f>
        <v/>
      </c>
      <c r="X368" s="38" t="str">
        <f>IF(AND(OR(LEFT(TH!L368,2)="15",LEFT(TH!M368,2)="15"),'152-CT'!$J$8=TH!F368),"x","")</f>
        <v/>
      </c>
      <c r="Y368" s="38" t="str">
        <f>IF(AND(OR(LEFT(TH!L368,2)="15",LEFT(TH!M368,2)="15"),TK!$E$7=TH!F368),"x","")</f>
        <v/>
      </c>
      <c r="Z368" s="38" t="str">
        <f>IF(AND(B368&lt;=NKC!$N$8,B368&gt;=NKC!$M$8),"x","")</f>
        <v/>
      </c>
      <c r="AA368" s="845"/>
      <c r="AB368" s="581"/>
    </row>
    <row r="369" spans="1:28" s="201" customFormat="1" ht="15.75" customHeight="1">
      <c r="A369" s="846" t="str">
        <f>IF(B369&lt;&gt;"",IF(AND(B369&gt;=_TM1,B369&lt;=_TM2,OR(TH!L369="1111",TH!M369="1111")),TH!D369,""),"")</f>
        <v/>
      </c>
      <c r="B369" s="36" t="str">
        <f t="shared" si="10"/>
        <v/>
      </c>
      <c r="C369" s="187"/>
      <c r="D369" s="187"/>
      <c r="E369" s="187"/>
      <c r="F369" s="39"/>
      <c r="G369" s="854"/>
      <c r="H369" s="189"/>
      <c r="I369" s="249"/>
      <c r="J369" s="249"/>
      <c r="K369" s="589"/>
      <c r="L369" s="590"/>
      <c r="M369" s="590"/>
      <c r="N369" s="38" t="str">
        <f>IF(AND('331-CT'!$E$7=TH!H369,OR(L369="331",M369="331")),"331",IF(AND(OR(L369="131",M369="131"),H369='131-CT'!$E$7),"131",""))</f>
        <v/>
      </c>
      <c r="O369" s="38" t="str">
        <f>IF(AND($B369&gt;='111'!$N$11,$B369&lt;='111'!$O$11,OR($L369=$O$7,$M369=$O$7)),"x","")</f>
        <v/>
      </c>
      <c r="P369" s="38" t="str">
        <f>IF(AND($L369=$O$7,$B369&lt;'111'!$N$11),"x","")</f>
        <v/>
      </c>
      <c r="Q369" s="38" t="str">
        <f>IF(AND($M369=$O$7,$B369&lt;'111'!$N$11),"x","")</f>
        <v/>
      </c>
      <c r="R369" s="38" t="str">
        <f>IF(ISERROR(FIND('112'!$M$9,G369,1)),"",IF((AND(FIND('112'!$M$9,G369,1)&gt;=1,$B369&gt;='112'!$N$8,$B369&lt;='112'!$O$8,OR($L369='112'!$I$6,$M369='112'!$I$6))),"x",""))</f>
        <v/>
      </c>
      <c r="S369" s="38" t="str">
        <f>IF(ISERROR(FIND('112'!$M$9,G369,1)),"",IF((AND(LEFT(G369,2)=LEFT('112'!$M$9,2),B369&lt;'112'!$N$8,$L369='112'!$I$6)),"x",""))</f>
        <v/>
      </c>
      <c r="T369" s="38" t="str">
        <f>IF(ISERROR(FIND('112'!$M$9,G369,1)),"",IF((AND(RIGHT(G369,2)=RIGHT('112'!$M$9,2),B369&lt;'112'!$N$8,$M369='112'!$I$6)),"x",""))</f>
        <v/>
      </c>
      <c r="U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38" t="str">
        <f>IF(OR(TH!L369=TH!$V$7,M369=TH!$V$7),"x","")</f>
        <v/>
      </c>
      <c r="W369" s="38" t="str">
        <f>IF(AND(B369&gt;='IN-NX'!$P$3,B369&lt;='IN-NX'!$Q$3,'IN-NX'!$D$7=D369,OR(LEFT(L369,2)="15",AND(LEFT(M369,2)&lt;&gt;"15",LEFT(M369,2)&lt;&gt;"33"))),"x","")</f>
        <v/>
      </c>
      <c r="X369" s="38" t="str">
        <f>IF(AND(OR(LEFT(TH!L369,2)="15",LEFT(TH!M369,2)="15"),'152-CT'!$J$8=TH!F369),"x","")</f>
        <v/>
      </c>
      <c r="Y369" s="38" t="str">
        <f>IF(AND(OR(LEFT(TH!L369,2)="15",LEFT(TH!M369,2)="15"),TK!$E$7=TH!F369),"x","")</f>
        <v/>
      </c>
      <c r="Z369" s="38" t="str">
        <f>IF(AND(B369&lt;=NKC!$N$8,B369&gt;=NKC!$M$8),"x","")</f>
        <v/>
      </c>
      <c r="AA369" s="845"/>
      <c r="AB369" s="581"/>
    </row>
    <row r="370" spans="1:28" s="201" customFormat="1" ht="15.75" customHeight="1">
      <c r="A370" s="846" t="str">
        <f>IF(B370&lt;&gt;"",IF(AND(B370&gt;=_TM1,B370&lt;=_TM2,OR(TH!L370="1111",TH!M370="1111")),TH!D370,""),"")</f>
        <v/>
      </c>
      <c r="B370" s="36" t="str">
        <f t="shared" si="10"/>
        <v/>
      </c>
      <c r="C370" s="187"/>
      <c r="D370" s="187"/>
      <c r="E370" s="187"/>
      <c r="F370" s="39"/>
      <c r="G370" s="854"/>
      <c r="H370" s="189"/>
      <c r="I370" s="249"/>
      <c r="J370" s="249"/>
      <c r="K370" s="589"/>
      <c r="L370" s="590"/>
      <c r="M370" s="590"/>
      <c r="N370" s="38" t="str">
        <f>IF(AND('331-CT'!$E$7=TH!H370,OR(L370="331",M370="331")),"331",IF(AND(OR(L370="131",M370="131"),H370='131-CT'!$E$7),"131",""))</f>
        <v/>
      </c>
      <c r="O370" s="38" t="str">
        <f>IF(AND($B370&gt;='111'!$N$11,$B370&lt;='111'!$O$11,OR($L370=$O$7,$M370=$O$7)),"x","")</f>
        <v/>
      </c>
      <c r="P370" s="38" t="str">
        <f>IF(AND($L370=$O$7,$B370&lt;'111'!$N$11),"x","")</f>
        <v/>
      </c>
      <c r="Q370" s="38" t="str">
        <f>IF(AND($M370=$O$7,$B370&lt;'111'!$N$11),"x","")</f>
        <v/>
      </c>
      <c r="R370" s="38" t="str">
        <f>IF(ISERROR(FIND('112'!$M$9,G370,1)),"",IF((AND(FIND('112'!$M$9,G370,1)&gt;=1,$B370&gt;='112'!$N$8,$B370&lt;='112'!$O$8,OR($L370='112'!$I$6,$M370='112'!$I$6))),"x",""))</f>
        <v/>
      </c>
      <c r="S370" s="38" t="str">
        <f>IF(ISERROR(FIND('112'!$M$9,G370,1)),"",IF((AND(LEFT(G370,2)=LEFT('112'!$M$9,2),B370&lt;'112'!$N$8,$L370='112'!$I$6)),"x",""))</f>
        <v/>
      </c>
      <c r="T370" s="38" t="str">
        <f>IF(ISERROR(FIND('112'!$M$9,G370,1)),"",IF((AND(RIGHT(G370,2)=RIGHT('112'!$M$9,2),B370&lt;'112'!$N$8,$M370='112'!$I$6)),"x",""))</f>
        <v/>
      </c>
      <c r="U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38" t="str">
        <f>IF(OR(TH!L370=TH!$V$7,M370=TH!$V$7),"x","")</f>
        <v/>
      </c>
      <c r="W370" s="38" t="str">
        <f>IF(AND(B370&gt;='IN-NX'!$P$3,B370&lt;='IN-NX'!$Q$3,'IN-NX'!$D$7=D370,OR(LEFT(L370,2)="15",AND(LEFT(M370,2)&lt;&gt;"15",LEFT(M370,2)&lt;&gt;"33"))),"x","")</f>
        <v/>
      </c>
      <c r="X370" s="38" t="str">
        <f>IF(AND(OR(LEFT(TH!L370,2)="15",LEFT(TH!M370,2)="15"),'152-CT'!$J$8=TH!F370),"x","")</f>
        <v/>
      </c>
      <c r="Y370" s="38" t="str">
        <f>IF(AND(OR(LEFT(TH!L370,2)="15",LEFT(TH!M370,2)="15"),TK!$E$7=TH!F370),"x","")</f>
        <v/>
      </c>
      <c r="Z370" s="38" t="str">
        <f>IF(AND(B370&lt;=NKC!$N$8,B370&gt;=NKC!$M$8),"x","")</f>
        <v/>
      </c>
      <c r="AA370" s="845"/>
      <c r="AB370" s="581"/>
    </row>
    <row r="371" spans="1:28" s="201" customFormat="1" ht="15.75" customHeight="1">
      <c r="A371" s="846" t="str">
        <f>IF(B371&lt;&gt;"",IF(AND(B371&gt;=_TM1,B371&lt;=_TM2,OR(TH!L371="1111",TH!M371="1111")),TH!D371,""),"")</f>
        <v/>
      </c>
      <c r="B371" s="36" t="str">
        <f t="shared" si="10"/>
        <v/>
      </c>
      <c r="C371" s="187"/>
      <c r="D371" s="187"/>
      <c r="E371" s="187"/>
      <c r="F371" s="39"/>
      <c r="G371" s="854"/>
      <c r="H371" s="189"/>
      <c r="I371" s="249"/>
      <c r="J371" s="249"/>
      <c r="K371" s="589"/>
      <c r="L371" s="590"/>
      <c r="M371" s="590"/>
      <c r="N371" s="38" t="str">
        <f>IF(AND('331-CT'!$E$7=TH!H371,OR(L371="331",M371="331")),"331",IF(AND(OR(L371="131",M371="131"),H371='131-CT'!$E$7),"131",""))</f>
        <v/>
      </c>
      <c r="O371" s="38" t="str">
        <f>IF(AND($B371&gt;='111'!$N$11,$B371&lt;='111'!$O$11,OR($L371=$O$7,$M371=$O$7)),"x","")</f>
        <v/>
      </c>
      <c r="P371" s="38" t="str">
        <f>IF(AND($L371=$O$7,$B371&lt;'111'!$N$11),"x","")</f>
        <v/>
      </c>
      <c r="Q371" s="38" t="str">
        <f>IF(AND($M371=$O$7,$B371&lt;'111'!$N$11),"x","")</f>
        <v/>
      </c>
      <c r="R371" s="38" t="str">
        <f>IF(ISERROR(FIND('112'!$M$9,G371,1)),"",IF((AND(FIND('112'!$M$9,G371,1)&gt;=1,$B371&gt;='112'!$N$8,$B371&lt;='112'!$O$8,OR($L371='112'!$I$6,$M371='112'!$I$6))),"x",""))</f>
        <v/>
      </c>
      <c r="S371" s="38" t="str">
        <f>IF(ISERROR(FIND('112'!$M$9,G371,1)),"",IF((AND(LEFT(G371,2)=LEFT('112'!$M$9,2),B371&lt;'112'!$N$8,$L371='112'!$I$6)),"x",""))</f>
        <v/>
      </c>
      <c r="T371" s="38" t="str">
        <f>IF(ISERROR(FIND('112'!$M$9,G371,1)),"",IF((AND(RIGHT(G371,2)=RIGHT('112'!$M$9,2),B371&lt;'112'!$N$8,$M371='112'!$I$6)),"x",""))</f>
        <v/>
      </c>
      <c r="U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38" t="str">
        <f>IF(OR(TH!L371=TH!$V$7,M371=TH!$V$7),"x","")</f>
        <v/>
      </c>
      <c r="W371" s="38" t="str">
        <f>IF(AND(B371&gt;='IN-NX'!$P$3,B371&lt;='IN-NX'!$Q$3,'IN-NX'!$D$7=D371,OR(LEFT(L371,2)="15",AND(LEFT(M371,2)&lt;&gt;"15",LEFT(M371,2)&lt;&gt;"33"))),"x","")</f>
        <v/>
      </c>
      <c r="X371" s="38" t="str">
        <f>IF(AND(OR(LEFT(TH!L371,2)="15",LEFT(TH!M371,2)="15"),'152-CT'!$J$8=TH!F371),"x","")</f>
        <v/>
      </c>
      <c r="Y371" s="38" t="str">
        <f>IF(AND(OR(LEFT(TH!L371,2)="15",LEFT(TH!M371,2)="15"),TK!$E$7=TH!F371),"x","")</f>
        <v/>
      </c>
      <c r="Z371" s="38" t="str">
        <f>IF(AND(B371&lt;=NKC!$N$8,B371&gt;=NKC!$M$8),"x","")</f>
        <v/>
      </c>
      <c r="AA371" s="845"/>
      <c r="AB371" s="581"/>
    </row>
    <row r="372" spans="1:28" s="201" customFormat="1" ht="15.75" customHeight="1">
      <c r="A372" s="846" t="str">
        <f>IF(B372&lt;&gt;"",IF(AND(B372&gt;=_TM1,B372&lt;=_TM2,OR(TH!L372="1111",TH!M372="1111")),TH!D372,""),"")</f>
        <v/>
      </c>
      <c r="B372" s="36" t="str">
        <f t="shared" si="10"/>
        <v/>
      </c>
      <c r="C372" s="187"/>
      <c r="D372" s="187"/>
      <c r="E372" s="187"/>
      <c r="F372" s="39"/>
      <c r="G372" s="854"/>
      <c r="H372" s="189"/>
      <c r="I372" s="249"/>
      <c r="J372" s="249"/>
      <c r="K372" s="589"/>
      <c r="L372" s="590"/>
      <c r="M372" s="590"/>
      <c r="N372" s="38" t="str">
        <f>IF(AND('331-CT'!$E$7=TH!H372,OR(L372="331",M372="331")),"331",IF(AND(OR(L372="131",M372="131"),H372='131-CT'!$E$7),"131",""))</f>
        <v/>
      </c>
      <c r="O372" s="38" t="str">
        <f>IF(AND($B372&gt;='111'!$N$11,$B372&lt;='111'!$O$11,OR($L372=$O$7,$M372=$O$7)),"x","")</f>
        <v/>
      </c>
      <c r="P372" s="38" t="str">
        <f>IF(AND($L372=$O$7,$B372&lt;'111'!$N$11),"x","")</f>
        <v/>
      </c>
      <c r="Q372" s="38" t="str">
        <f>IF(AND($M372=$O$7,$B372&lt;'111'!$N$11),"x","")</f>
        <v/>
      </c>
      <c r="R372" s="38" t="str">
        <f>IF(ISERROR(FIND('112'!$M$9,G372,1)),"",IF((AND(FIND('112'!$M$9,G372,1)&gt;=1,$B372&gt;='112'!$N$8,$B372&lt;='112'!$O$8,OR($L372='112'!$I$6,$M372='112'!$I$6))),"x",""))</f>
        <v/>
      </c>
      <c r="S372" s="38" t="str">
        <f>IF(ISERROR(FIND('112'!$M$9,G372,1)),"",IF((AND(LEFT(G372,2)=LEFT('112'!$M$9,2),B372&lt;'112'!$N$8,$L372='112'!$I$6)),"x",""))</f>
        <v/>
      </c>
      <c r="T372" s="38" t="str">
        <f>IF(ISERROR(FIND('112'!$M$9,G372,1)),"",IF((AND(RIGHT(G372,2)=RIGHT('112'!$M$9,2),B372&lt;'112'!$N$8,$M372='112'!$I$6)),"x",""))</f>
        <v/>
      </c>
      <c r="U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38" t="str">
        <f>IF(OR(TH!L372=TH!$V$7,M372=TH!$V$7),"x","")</f>
        <v/>
      </c>
      <c r="W372" s="38" t="str">
        <f>IF(AND(B372&gt;='IN-NX'!$P$3,B372&lt;='IN-NX'!$Q$3,'IN-NX'!$D$7=D372,OR(LEFT(L372,2)="15",AND(LEFT(M372,2)&lt;&gt;"15",LEFT(M372,2)&lt;&gt;"33"))),"x","")</f>
        <v/>
      </c>
      <c r="X372" s="38" t="str">
        <f>IF(AND(OR(LEFT(TH!L372,2)="15",LEFT(TH!M372,2)="15"),'152-CT'!$J$8=TH!F372),"x","")</f>
        <v/>
      </c>
      <c r="Y372" s="38" t="str">
        <f>IF(AND(OR(LEFT(TH!L372,2)="15",LEFT(TH!M372,2)="15"),TK!$E$7=TH!F372),"x","")</f>
        <v/>
      </c>
      <c r="Z372" s="38" t="str">
        <f>IF(AND(B372&lt;=NKC!$N$8,B372&gt;=NKC!$M$8),"x","")</f>
        <v/>
      </c>
      <c r="AA372" s="845"/>
      <c r="AB372" s="581"/>
    </row>
    <row r="373" spans="1:28" s="201" customFormat="1" ht="15.75" customHeight="1">
      <c r="A373" s="846" t="str">
        <f>IF(B373&lt;&gt;"",IF(AND(B373&gt;=_TM1,B373&lt;=_TM2,OR(TH!L373="1111",TH!M373="1111")),TH!D373,""),"")</f>
        <v/>
      </c>
      <c r="B373" s="36" t="str">
        <f t="shared" si="10"/>
        <v/>
      </c>
      <c r="C373" s="187"/>
      <c r="D373" s="187"/>
      <c r="E373" s="187"/>
      <c r="F373" s="39"/>
      <c r="G373" s="854"/>
      <c r="H373" s="189"/>
      <c r="I373" s="249"/>
      <c r="J373" s="249"/>
      <c r="K373" s="589"/>
      <c r="L373" s="590"/>
      <c r="M373" s="590"/>
      <c r="N373" s="38" t="str">
        <f>IF(AND('331-CT'!$E$7=TH!H373,OR(L373="331",M373="331")),"331",IF(AND(OR(L373="131",M373="131"),H373='131-CT'!$E$7),"131",""))</f>
        <v/>
      </c>
      <c r="O373" s="38" t="str">
        <f>IF(AND($B373&gt;='111'!$N$11,$B373&lt;='111'!$O$11,OR($L373=$O$7,$M373=$O$7)),"x","")</f>
        <v/>
      </c>
      <c r="P373" s="38" t="str">
        <f>IF(AND($L373=$O$7,$B373&lt;'111'!$N$11),"x","")</f>
        <v/>
      </c>
      <c r="Q373" s="38" t="str">
        <f>IF(AND($M373=$O$7,$B373&lt;'111'!$N$11),"x","")</f>
        <v/>
      </c>
      <c r="R373" s="38" t="str">
        <f>IF(ISERROR(FIND('112'!$M$9,G373,1)),"",IF((AND(FIND('112'!$M$9,G373,1)&gt;=1,$B373&gt;='112'!$N$8,$B373&lt;='112'!$O$8,OR($L373='112'!$I$6,$M373='112'!$I$6))),"x",""))</f>
        <v/>
      </c>
      <c r="S373" s="38" t="str">
        <f>IF(ISERROR(FIND('112'!$M$9,G373,1)),"",IF((AND(LEFT(G373,2)=LEFT('112'!$M$9,2),B373&lt;'112'!$N$8,$L373='112'!$I$6)),"x",""))</f>
        <v/>
      </c>
      <c r="T373" s="38" t="str">
        <f>IF(ISERROR(FIND('112'!$M$9,G373,1)),"",IF((AND(RIGHT(G373,2)=RIGHT('112'!$M$9,2),B373&lt;'112'!$N$8,$M373='112'!$I$6)),"x",""))</f>
        <v/>
      </c>
      <c r="U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38" t="str">
        <f>IF(OR(TH!L373=TH!$V$7,M373=TH!$V$7),"x","")</f>
        <v/>
      </c>
      <c r="W373" s="38" t="str">
        <f>IF(AND(B373&gt;='IN-NX'!$P$3,B373&lt;='IN-NX'!$Q$3,'IN-NX'!$D$7=D373,OR(LEFT(L373,2)="15",AND(LEFT(M373,2)&lt;&gt;"15",LEFT(M373,2)&lt;&gt;"33"))),"x","")</f>
        <v/>
      </c>
      <c r="X373" s="38" t="str">
        <f>IF(AND(OR(LEFT(TH!L373,2)="15",LEFT(TH!M373,2)="15"),'152-CT'!$J$8=TH!F373),"x","")</f>
        <v/>
      </c>
      <c r="Y373" s="38" t="str">
        <f>IF(AND(OR(LEFT(TH!L373,2)="15",LEFT(TH!M373,2)="15"),TK!$E$7=TH!F373),"x","")</f>
        <v/>
      </c>
      <c r="Z373" s="38" t="str">
        <f>IF(AND(B373&lt;=NKC!$N$8,B373&gt;=NKC!$M$8),"x","")</f>
        <v/>
      </c>
      <c r="AA373" s="845"/>
      <c r="AB373" s="581"/>
    </row>
    <row r="374" spans="1:28" s="201" customFormat="1" ht="15.75" customHeight="1">
      <c r="A374" s="846" t="str">
        <f>IF(B374&lt;&gt;"",IF(AND(B374&gt;=_TM1,B374&lt;=_TM2,OR(TH!L374="1111",TH!M374="1111")),TH!D374,""),"")</f>
        <v/>
      </c>
      <c r="B374" s="36" t="str">
        <f t="shared" si="10"/>
        <v/>
      </c>
      <c r="C374" s="187"/>
      <c r="D374" s="187"/>
      <c r="E374" s="187"/>
      <c r="F374" s="39"/>
      <c r="G374" s="854"/>
      <c r="H374" s="189"/>
      <c r="I374" s="249"/>
      <c r="J374" s="249"/>
      <c r="K374" s="589"/>
      <c r="L374" s="590"/>
      <c r="M374" s="590"/>
      <c r="N374" s="38" t="str">
        <f>IF(AND('331-CT'!$E$7=TH!H374,OR(L374="331",M374="331")),"331",IF(AND(OR(L374="131",M374="131"),H374='131-CT'!$E$7),"131",""))</f>
        <v/>
      </c>
      <c r="O374" s="38" t="str">
        <f>IF(AND($B374&gt;='111'!$N$11,$B374&lt;='111'!$O$11,OR($L374=$O$7,$M374=$O$7)),"x","")</f>
        <v/>
      </c>
      <c r="P374" s="38" t="str">
        <f>IF(AND($L374=$O$7,$B374&lt;'111'!$N$11),"x","")</f>
        <v/>
      </c>
      <c r="Q374" s="38" t="str">
        <f>IF(AND($M374=$O$7,$B374&lt;'111'!$N$11),"x","")</f>
        <v/>
      </c>
      <c r="R374" s="38" t="str">
        <f>IF(ISERROR(FIND('112'!$M$9,G374,1)),"",IF((AND(FIND('112'!$M$9,G374,1)&gt;=1,$B374&gt;='112'!$N$8,$B374&lt;='112'!$O$8,OR($L374='112'!$I$6,$M374='112'!$I$6))),"x",""))</f>
        <v/>
      </c>
      <c r="S374" s="38" t="str">
        <f>IF(ISERROR(FIND('112'!$M$9,G374,1)),"",IF((AND(LEFT(G374,2)=LEFT('112'!$M$9,2),B374&lt;'112'!$N$8,$L374='112'!$I$6)),"x",""))</f>
        <v/>
      </c>
      <c r="T374" s="38" t="str">
        <f>IF(ISERROR(FIND('112'!$M$9,G374,1)),"",IF((AND(RIGHT(G374,2)=RIGHT('112'!$M$9,2),B374&lt;'112'!$N$8,$M374='112'!$I$6)),"x",""))</f>
        <v/>
      </c>
      <c r="U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38" t="str">
        <f>IF(OR(TH!L374=TH!$V$7,M374=TH!$V$7),"x","")</f>
        <v/>
      </c>
      <c r="W374" s="38" t="str">
        <f>IF(AND(B374&gt;='IN-NX'!$P$3,B374&lt;='IN-NX'!$Q$3,'IN-NX'!$D$7=D374,OR(LEFT(L374,2)="15",AND(LEFT(M374,2)&lt;&gt;"15",LEFT(M374,2)&lt;&gt;"33"))),"x","")</f>
        <v/>
      </c>
      <c r="X374" s="38" t="str">
        <f>IF(AND(OR(LEFT(TH!L374,2)="15",LEFT(TH!M374,2)="15"),'152-CT'!$J$8=TH!F374),"x","")</f>
        <v/>
      </c>
      <c r="Y374" s="38" t="str">
        <f>IF(AND(OR(LEFT(TH!L374,2)="15",LEFT(TH!M374,2)="15"),TK!$E$7=TH!F374),"x","")</f>
        <v/>
      </c>
      <c r="Z374" s="38" t="str">
        <f>IF(AND(B374&lt;=NKC!$N$8,B374&gt;=NKC!$M$8),"x","")</f>
        <v/>
      </c>
      <c r="AA374" s="845"/>
      <c r="AB374" s="581"/>
    </row>
    <row r="375" spans="1:28" s="201" customFormat="1" ht="15.75" customHeight="1">
      <c r="A375" s="846" t="str">
        <f>IF(B375&lt;&gt;"",IF(AND(B375&gt;=_TM1,B375&lt;=_TM2,OR(TH!L375="1111",TH!M375="1111")),TH!D375,""),"")</f>
        <v/>
      </c>
      <c r="B375" s="36" t="str">
        <f t="shared" si="10"/>
        <v/>
      </c>
      <c r="C375" s="187"/>
      <c r="D375" s="187"/>
      <c r="E375" s="187"/>
      <c r="F375" s="39"/>
      <c r="G375" s="854"/>
      <c r="H375" s="189"/>
      <c r="I375" s="249"/>
      <c r="J375" s="249"/>
      <c r="K375" s="589"/>
      <c r="L375" s="590"/>
      <c r="M375" s="590"/>
      <c r="N375" s="38" t="str">
        <f>IF(AND('331-CT'!$E$7=TH!H375,OR(L375="331",M375="331")),"331",IF(AND(OR(L375="131",M375="131"),H375='131-CT'!$E$7),"131",""))</f>
        <v/>
      </c>
      <c r="O375" s="38" t="str">
        <f>IF(AND($B375&gt;='111'!$N$11,$B375&lt;='111'!$O$11,OR($L375=$O$7,$M375=$O$7)),"x","")</f>
        <v/>
      </c>
      <c r="P375" s="38" t="str">
        <f>IF(AND($L375=$O$7,$B375&lt;'111'!$N$11),"x","")</f>
        <v/>
      </c>
      <c r="Q375" s="38" t="str">
        <f>IF(AND($M375=$O$7,$B375&lt;'111'!$N$11),"x","")</f>
        <v/>
      </c>
      <c r="R375" s="38" t="str">
        <f>IF(ISERROR(FIND('112'!$M$9,G375,1)),"",IF((AND(FIND('112'!$M$9,G375,1)&gt;=1,$B375&gt;='112'!$N$8,$B375&lt;='112'!$O$8,OR($L375='112'!$I$6,$M375='112'!$I$6))),"x",""))</f>
        <v/>
      </c>
      <c r="S375" s="38" t="str">
        <f>IF(ISERROR(FIND('112'!$M$9,G375,1)),"",IF((AND(LEFT(G375,2)=LEFT('112'!$M$9,2),B375&lt;'112'!$N$8,$L375='112'!$I$6)),"x",""))</f>
        <v/>
      </c>
      <c r="T375" s="38" t="str">
        <f>IF(ISERROR(FIND('112'!$M$9,G375,1)),"",IF((AND(RIGHT(G375,2)=RIGHT('112'!$M$9,2),B375&lt;'112'!$N$8,$M375='112'!$I$6)),"x",""))</f>
        <v/>
      </c>
      <c r="U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38" t="str">
        <f>IF(OR(TH!L375=TH!$V$7,M375=TH!$V$7),"x","")</f>
        <v/>
      </c>
      <c r="W375" s="38" t="str">
        <f>IF(AND(B375&gt;='IN-NX'!$P$3,B375&lt;='IN-NX'!$Q$3,'IN-NX'!$D$7=D375,OR(LEFT(L375,2)="15",AND(LEFT(M375,2)&lt;&gt;"15",LEFT(M375,2)&lt;&gt;"33"))),"x","")</f>
        <v/>
      </c>
      <c r="X375" s="38" t="str">
        <f>IF(AND(OR(LEFT(TH!L375,2)="15",LEFT(TH!M375,2)="15"),'152-CT'!$J$8=TH!F375),"x","")</f>
        <v/>
      </c>
      <c r="Y375" s="38" t="str">
        <f>IF(AND(OR(LEFT(TH!L375,2)="15",LEFT(TH!M375,2)="15"),TK!$E$7=TH!F375),"x","")</f>
        <v/>
      </c>
      <c r="Z375" s="38" t="str">
        <f>IF(AND(B375&lt;=NKC!$N$8,B375&gt;=NKC!$M$8),"x","")</f>
        <v/>
      </c>
      <c r="AA375" s="845"/>
      <c r="AB375" s="581"/>
    </row>
    <row r="376" spans="1:28" s="201" customFormat="1" ht="15.75" customHeight="1">
      <c r="A376" s="846" t="str">
        <f>IF(B376&lt;&gt;"",IF(AND(B376&gt;=_TM1,B376&lt;=_TM2,OR(TH!L376="1111",TH!M376="1111")),TH!D376,""),"")</f>
        <v/>
      </c>
      <c r="B376" s="36" t="str">
        <f t="shared" si="10"/>
        <v/>
      </c>
      <c r="C376" s="187"/>
      <c r="D376" s="187"/>
      <c r="E376" s="187"/>
      <c r="F376" s="188"/>
      <c r="G376" s="854"/>
      <c r="H376" s="189"/>
      <c r="I376" s="249"/>
      <c r="J376" s="249"/>
      <c r="K376" s="589"/>
      <c r="L376" s="590"/>
      <c r="M376" s="590"/>
      <c r="N376" s="38" t="str">
        <f>IF(AND('331-CT'!$E$7=TH!H376,OR(L376="331",M376="331")),"331",IF(AND(OR(L376="131",M376="131"),H376='131-CT'!$E$7),"131",""))</f>
        <v/>
      </c>
      <c r="O376" s="38" t="str">
        <f>IF(AND($B376&gt;='111'!$N$11,$B376&lt;='111'!$O$11,OR($L376=$O$7,$M376=$O$7)),"x","")</f>
        <v/>
      </c>
      <c r="P376" s="38" t="str">
        <f>IF(AND($L376=$O$7,$B376&lt;'111'!$N$11),"x","")</f>
        <v/>
      </c>
      <c r="Q376" s="38" t="str">
        <f>IF(AND($M376=$O$7,$B376&lt;'111'!$N$11),"x","")</f>
        <v/>
      </c>
      <c r="R376" s="38" t="str">
        <f>IF(ISERROR(FIND('112'!$M$9,G376,1)),"",IF((AND(FIND('112'!$M$9,G376,1)&gt;=1,$B376&gt;='112'!$N$8,$B376&lt;='112'!$O$8,OR($L376='112'!$I$6,$M376='112'!$I$6))),"x",""))</f>
        <v/>
      </c>
      <c r="S376" s="38" t="str">
        <f>IF(ISERROR(FIND('112'!$M$9,G376,1)),"",IF((AND(LEFT(G376,2)=LEFT('112'!$M$9,2),B376&lt;'112'!$N$8,$L376='112'!$I$6)),"x",""))</f>
        <v/>
      </c>
      <c r="T376" s="38" t="str">
        <f>IF(ISERROR(FIND('112'!$M$9,G376,1)),"",IF((AND(RIGHT(G376,2)=RIGHT('112'!$M$9,2),B376&lt;'112'!$N$8,$M376='112'!$I$6)),"x",""))</f>
        <v/>
      </c>
      <c r="U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38" t="str">
        <f>IF(OR(TH!L376=TH!$V$7,M376=TH!$V$7),"x","")</f>
        <v/>
      </c>
      <c r="W376" s="38" t="str">
        <f>IF(AND(B376&gt;='IN-NX'!$P$3,B376&lt;='IN-NX'!$Q$3,'IN-NX'!$D$7=D376,OR(LEFT(L376,2)="15",AND(LEFT(M376,2)&lt;&gt;"15",LEFT(M376,2)&lt;&gt;"33"))),"x","")</f>
        <v/>
      </c>
      <c r="X376" s="38" t="str">
        <f>IF(AND(OR(LEFT(TH!L376,2)="15",LEFT(TH!M376,2)="15"),'152-CT'!$J$8=TH!F376),"x","")</f>
        <v/>
      </c>
      <c r="Y376" s="38" t="str">
        <f>IF(AND(OR(LEFT(TH!L376,2)="15",LEFT(TH!M376,2)="15"),TK!$E$7=TH!F376),"x","")</f>
        <v/>
      </c>
      <c r="Z376" s="38" t="str">
        <f>IF(AND(B376&lt;=NKC!$N$8,B376&gt;=NKC!$M$8),"x","")</f>
        <v/>
      </c>
      <c r="AA376" s="845"/>
      <c r="AB376" s="581"/>
    </row>
    <row r="377" spans="1:28" s="201" customFormat="1" ht="15.75" customHeight="1">
      <c r="A377" s="846" t="str">
        <f>IF(B377&lt;&gt;"",IF(AND(B377&gt;=_TM1,B377&lt;=_TM2,OR(TH!L377="1111",TH!M377="1111")),TH!D377,""),"")</f>
        <v/>
      </c>
      <c r="B377" s="36" t="str">
        <f t="shared" ref="B377:B436" si="11">IF(C377&lt;&gt;"",MONTH(C377),"")</f>
        <v/>
      </c>
      <c r="C377" s="187"/>
      <c r="D377" s="187"/>
      <c r="E377" s="187"/>
      <c r="F377" s="39"/>
      <c r="G377" s="854"/>
      <c r="H377" s="189"/>
      <c r="I377" s="249"/>
      <c r="J377" s="249"/>
      <c r="K377" s="589"/>
      <c r="L377" s="590"/>
      <c r="M377" s="590"/>
      <c r="N377" s="38" t="str">
        <f>IF(AND('331-CT'!$E$7=TH!H377,OR(L377="331",M377="331")),"331",IF(AND(OR(L377="131",M377="131"),H377='131-CT'!$E$7),"131",""))</f>
        <v/>
      </c>
      <c r="O377" s="38" t="str">
        <f>IF(AND($B377&gt;='111'!$N$11,$B377&lt;='111'!$O$11,OR($L377=$O$7,$M377=$O$7)),"x","")</f>
        <v/>
      </c>
      <c r="P377" s="38" t="str">
        <f>IF(AND($L377=$O$7,$B377&lt;'111'!$N$11),"x","")</f>
        <v/>
      </c>
      <c r="Q377" s="38" t="str">
        <f>IF(AND($M377=$O$7,$B377&lt;'111'!$N$11),"x","")</f>
        <v/>
      </c>
      <c r="R377" s="38" t="str">
        <f>IF(ISERROR(FIND('112'!$M$9,G377,1)),"",IF((AND(FIND('112'!$M$9,G377,1)&gt;=1,$B377&gt;='112'!$N$8,$B377&lt;='112'!$O$8,OR($L377='112'!$I$6,$M377='112'!$I$6))),"x",""))</f>
        <v/>
      </c>
      <c r="S377" s="38" t="str">
        <f>IF(ISERROR(FIND('112'!$M$9,G377,1)),"",IF((AND(LEFT(G377,2)=LEFT('112'!$M$9,2),B377&lt;'112'!$N$8,$L377='112'!$I$6)),"x",""))</f>
        <v/>
      </c>
      <c r="T377" s="38" t="str">
        <f>IF(ISERROR(FIND('112'!$M$9,G377,1)),"",IF((AND(RIGHT(G377,2)=RIGHT('112'!$M$9,2),B377&lt;'112'!$N$8,$M377='112'!$I$6)),"x",""))</f>
        <v/>
      </c>
      <c r="U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38" t="str">
        <f>IF(OR(TH!L377=TH!$V$7,M377=TH!$V$7),"x","")</f>
        <v/>
      </c>
      <c r="W377" s="38" t="str">
        <f>IF(AND(B377&gt;='IN-NX'!$P$3,B377&lt;='IN-NX'!$Q$3,'IN-NX'!$D$7=D377,OR(LEFT(L377,2)="15",AND(LEFT(M377,2)&lt;&gt;"15",LEFT(M377,2)&lt;&gt;"33"))),"x","")</f>
        <v/>
      </c>
      <c r="X377" s="38" t="str">
        <f>IF(AND(OR(LEFT(TH!L377,2)="15",LEFT(TH!M377,2)="15"),'152-CT'!$J$8=TH!F377),"x","")</f>
        <v/>
      </c>
      <c r="Y377" s="38" t="str">
        <f>IF(AND(OR(LEFT(TH!L377,2)="15",LEFT(TH!M377,2)="15"),TK!$E$7=TH!F377),"x","")</f>
        <v/>
      </c>
      <c r="Z377" s="38" t="str">
        <f>IF(AND(B377&lt;=NKC!$N$8,B377&gt;=NKC!$M$8),"x","")</f>
        <v/>
      </c>
      <c r="AA377" s="845"/>
      <c r="AB377" s="581"/>
    </row>
    <row r="378" spans="1:28" s="201" customFormat="1" ht="15.75" customHeight="1">
      <c r="A378" s="846" t="str">
        <f>IF(B378&lt;&gt;"",IF(AND(B378&gt;=_TM1,B378&lt;=_TM2,OR(TH!L378="1111",TH!M378="1111")),TH!D378,""),"")</f>
        <v/>
      </c>
      <c r="B378" s="36" t="str">
        <f t="shared" si="11"/>
        <v/>
      </c>
      <c r="C378" s="187"/>
      <c r="D378" s="187"/>
      <c r="E378" s="187"/>
      <c r="F378" s="39"/>
      <c r="G378" s="854"/>
      <c r="H378" s="189"/>
      <c r="I378" s="249"/>
      <c r="J378" s="249"/>
      <c r="K378" s="589"/>
      <c r="L378" s="590"/>
      <c r="M378" s="590"/>
      <c r="N378" s="38" t="str">
        <f>IF(AND('331-CT'!$E$7=TH!H378,OR(L378="331",M378="331")),"331",IF(AND(OR(L378="131",M378="131"),H378='131-CT'!$E$7),"131",""))</f>
        <v/>
      </c>
      <c r="O378" s="38" t="str">
        <f>IF(AND($B378&gt;='111'!$N$11,$B378&lt;='111'!$O$11,OR($L378=$O$7,$M378=$O$7)),"x","")</f>
        <v/>
      </c>
      <c r="P378" s="38" t="str">
        <f>IF(AND($L378=$O$7,$B378&lt;'111'!$N$11),"x","")</f>
        <v/>
      </c>
      <c r="Q378" s="38" t="str">
        <f>IF(AND($M378=$O$7,$B378&lt;'111'!$N$11),"x","")</f>
        <v/>
      </c>
      <c r="R378" s="38" t="str">
        <f>IF(ISERROR(FIND('112'!$M$9,G378,1)),"",IF((AND(FIND('112'!$M$9,G378,1)&gt;=1,$B378&gt;='112'!$N$8,$B378&lt;='112'!$O$8,OR($L378='112'!$I$6,$M378='112'!$I$6))),"x",""))</f>
        <v/>
      </c>
      <c r="S378" s="38" t="str">
        <f>IF(ISERROR(FIND('112'!$M$9,G378,1)),"",IF((AND(LEFT(G378,2)=LEFT('112'!$M$9,2),B378&lt;'112'!$N$8,$L378='112'!$I$6)),"x",""))</f>
        <v/>
      </c>
      <c r="T378" s="38" t="str">
        <f>IF(ISERROR(FIND('112'!$M$9,G378,1)),"",IF((AND(RIGHT(G378,2)=RIGHT('112'!$M$9,2),B378&lt;'112'!$N$8,$M378='112'!$I$6)),"x",""))</f>
        <v/>
      </c>
      <c r="U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38" t="str">
        <f>IF(OR(TH!L378=TH!$V$7,M378=TH!$V$7),"x","")</f>
        <v/>
      </c>
      <c r="W378" s="38" t="str">
        <f>IF(AND(B378&gt;='IN-NX'!$P$3,B378&lt;='IN-NX'!$Q$3,'IN-NX'!$D$7=D378,OR(LEFT(L378,2)="15",AND(LEFT(M378,2)&lt;&gt;"15",LEFT(M378,2)&lt;&gt;"33"))),"x","")</f>
        <v/>
      </c>
      <c r="X378" s="38" t="str">
        <f>IF(AND(OR(LEFT(TH!L378,2)="15",LEFT(TH!M378,2)="15"),'152-CT'!$J$8=TH!F378),"x","")</f>
        <v/>
      </c>
      <c r="Y378" s="38" t="str">
        <f>IF(AND(OR(LEFT(TH!L378,2)="15",LEFT(TH!M378,2)="15"),TK!$E$7=TH!F378),"x","")</f>
        <v/>
      </c>
      <c r="Z378" s="38" t="str">
        <f>IF(AND(B378&lt;=NKC!$N$8,B378&gt;=NKC!$M$8),"x","")</f>
        <v/>
      </c>
      <c r="AA378" s="845"/>
      <c r="AB378" s="581"/>
    </row>
    <row r="379" spans="1:28" s="201" customFormat="1" ht="15.75" customHeight="1">
      <c r="A379" s="846" t="str">
        <f>IF(B379&lt;&gt;"",IF(AND(B379&gt;=_TM1,B379&lt;=_TM2,OR(TH!L379="1111",TH!M379="1111")),TH!D379,""),"")</f>
        <v/>
      </c>
      <c r="B379" s="36" t="str">
        <f t="shared" si="11"/>
        <v/>
      </c>
      <c r="C379" s="187"/>
      <c r="D379" s="187"/>
      <c r="E379" s="187"/>
      <c r="F379" s="39"/>
      <c r="G379" s="854"/>
      <c r="H379" s="189"/>
      <c r="I379" s="249"/>
      <c r="J379" s="249"/>
      <c r="K379" s="589"/>
      <c r="L379" s="590"/>
      <c r="M379" s="590"/>
      <c r="N379" s="38" t="str">
        <f>IF(AND('331-CT'!$E$7=TH!H379,OR(L379="331",M379="331")),"331",IF(AND(OR(L379="131",M379="131"),H379='131-CT'!$E$7),"131",""))</f>
        <v/>
      </c>
      <c r="O379" s="38" t="str">
        <f>IF(AND($B379&gt;='111'!$N$11,$B379&lt;='111'!$O$11,OR($L379=$O$7,$M379=$O$7)),"x","")</f>
        <v/>
      </c>
      <c r="P379" s="38" t="str">
        <f>IF(AND($L379=$O$7,$B379&lt;'111'!$N$11),"x","")</f>
        <v/>
      </c>
      <c r="Q379" s="38" t="str">
        <f>IF(AND($M379=$O$7,$B379&lt;'111'!$N$11),"x","")</f>
        <v/>
      </c>
      <c r="R379" s="38" t="str">
        <f>IF(ISERROR(FIND('112'!$M$9,G379,1)),"",IF((AND(FIND('112'!$M$9,G379,1)&gt;=1,$B379&gt;='112'!$N$8,$B379&lt;='112'!$O$8,OR($L379='112'!$I$6,$M379='112'!$I$6))),"x",""))</f>
        <v/>
      </c>
      <c r="S379" s="38" t="str">
        <f>IF(ISERROR(FIND('112'!$M$9,G379,1)),"",IF((AND(LEFT(G379,2)=LEFT('112'!$M$9,2),B379&lt;'112'!$N$8,$L379='112'!$I$6)),"x",""))</f>
        <v/>
      </c>
      <c r="T379" s="38" t="str">
        <f>IF(ISERROR(FIND('112'!$M$9,G379,1)),"",IF((AND(RIGHT(G379,2)=RIGHT('112'!$M$9,2),B379&lt;'112'!$N$8,$M379='112'!$I$6)),"x",""))</f>
        <v/>
      </c>
      <c r="U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38" t="str">
        <f>IF(OR(TH!L379=TH!$V$7,M379=TH!$V$7),"x","")</f>
        <v/>
      </c>
      <c r="W379" s="38" t="str">
        <f>IF(AND(B379&gt;='IN-NX'!$P$3,B379&lt;='IN-NX'!$Q$3,'IN-NX'!$D$7=D379,OR(LEFT(L379,2)="15",AND(LEFT(M379,2)&lt;&gt;"15",LEFT(M379,2)&lt;&gt;"33"))),"x","")</f>
        <v/>
      </c>
      <c r="X379" s="38" t="str">
        <f>IF(AND(OR(LEFT(TH!L379,2)="15",LEFT(TH!M379,2)="15"),'152-CT'!$J$8=TH!F379),"x","")</f>
        <v/>
      </c>
      <c r="Y379" s="38" t="str">
        <f>IF(AND(OR(LEFT(TH!L379,2)="15",LEFT(TH!M379,2)="15"),TK!$E$7=TH!F379),"x","")</f>
        <v/>
      </c>
      <c r="Z379" s="38" t="str">
        <f>IF(AND(B379&lt;=NKC!$N$8,B379&gt;=NKC!$M$8),"x","")</f>
        <v/>
      </c>
      <c r="AA379" s="845"/>
      <c r="AB379" s="581"/>
    </row>
    <row r="380" spans="1:28" s="201" customFormat="1" ht="15.75" customHeight="1">
      <c r="A380" s="846" t="str">
        <f>IF(B380&lt;&gt;"",IF(AND(B380&gt;=_TM1,B380&lt;=_TM2,OR(TH!L380="1111",TH!M380="1111")),TH!D380,""),"")</f>
        <v/>
      </c>
      <c r="B380" s="36" t="str">
        <f t="shared" si="11"/>
        <v/>
      </c>
      <c r="C380" s="187"/>
      <c r="D380" s="187"/>
      <c r="E380" s="187"/>
      <c r="F380" s="39"/>
      <c r="G380" s="854"/>
      <c r="H380" s="189"/>
      <c r="I380" s="249"/>
      <c r="J380" s="249"/>
      <c r="K380" s="589"/>
      <c r="L380" s="590"/>
      <c r="M380" s="590"/>
      <c r="N380" s="38" t="str">
        <f>IF(AND('331-CT'!$E$7=TH!H380,OR(L380="331",M380="331")),"331",IF(AND(OR(L380="131",M380="131"),H380='131-CT'!$E$7),"131",""))</f>
        <v/>
      </c>
      <c r="O380" s="38" t="str">
        <f>IF(AND($B380&gt;='111'!$N$11,$B380&lt;='111'!$O$11,OR($L380=$O$7,$M380=$O$7)),"x","")</f>
        <v/>
      </c>
      <c r="P380" s="38" t="str">
        <f>IF(AND($L380=$O$7,$B380&lt;'111'!$N$11),"x","")</f>
        <v/>
      </c>
      <c r="Q380" s="38" t="str">
        <f>IF(AND($M380=$O$7,$B380&lt;'111'!$N$11),"x","")</f>
        <v/>
      </c>
      <c r="R380" s="38" t="str">
        <f>IF(ISERROR(FIND('112'!$M$9,G380,1)),"",IF((AND(FIND('112'!$M$9,G380,1)&gt;=1,$B380&gt;='112'!$N$8,$B380&lt;='112'!$O$8,OR($L380='112'!$I$6,$M380='112'!$I$6))),"x",""))</f>
        <v/>
      </c>
      <c r="S380" s="38" t="str">
        <f>IF(ISERROR(FIND('112'!$M$9,G380,1)),"",IF((AND(LEFT(G380,2)=LEFT('112'!$M$9,2),B380&lt;'112'!$N$8,$L380='112'!$I$6)),"x",""))</f>
        <v/>
      </c>
      <c r="T380" s="38" t="str">
        <f>IF(ISERROR(FIND('112'!$M$9,G380,1)),"",IF((AND(RIGHT(G380,2)=RIGHT('112'!$M$9,2),B380&lt;'112'!$N$8,$M380='112'!$I$6)),"x",""))</f>
        <v/>
      </c>
      <c r="U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38" t="str">
        <f>IF(OR(TH!L380=TH!$V$7,M380=TH!$V$7),"x","")</f>
        <v/>
      </c>
      <c r="W380" s="38" t="str">
        <f>IF(AND(B380&gt;='IN-NX'!$P$3,B380&lt;='IN-NX'!$Q$3,'IN-NX'!$D$7=D380,OR(LEFT(L380,2)="15",AND(LEFT(M380,2)&lt;&gt;"15",LEFT(M380,2)&lt;&gt;"33"))),"x","")</f>
        <v/>
      </c>
      <c r="X380" s="38" t="str">
        <f>IF(AND(OR(LEFT(TH!L380,2)="15",LEFT(TH!M380,2)="15"),'152-CT'!$J$8=TH!F380),"x","")</f>
        <v/>
      </c>
      <c r="Y380" s="38" t="str">
        <f>IF(AND(OR(LEFT(TH!L380,2)="15",LEFT(TH!M380,2)="15"),TK!$E$7=TH!F380),"x","")</f>
        <v/>
      </c>
      <c r="Z380" s="38" t="str">
        <f>IF(AND(B380&lt;=NKC!$N$8,B380&gt;=NKC!$M$8),"x","")</f>
        <v/>
      </c>
      <c r="AA380" s="845"/>
      <c r="AB380" s="581"/>
    </row>
    <row r="381" spans="1:28" s="201" customFormat="1" ht="15.75" customHeight="1">
      <c r="A381" s="846" t="str">
        <f>IF(B381&lt;&gt;"",IF(AND(B381&gt;=_TM1,B381&lt;=_TM2,OR(TH!L381="1111",TH!M381="1111")),TH!D381,""),"")</f>
        <v/>
      </c>
      <c r="B381" s="36" t="str">
        <f t="shared" si="11"/>
        <v/>
      </c>
      <c r="C381" s="187"/>
      <c r="D381" s="187"/>
      <c r="E381" s="187"/>
      <c r="F381" s="39"/>
      <c r="G381" s="854"/>
      <c r="H381" s="189"/>
      <c r="I381" s="249"/>
      <c r="J381" s="249"/>
      <c r="K381" s="589"/>
      <c r="L381" s="590"/>
      <c r="M381" s="590"/>
      <c r="N381" s="38" t="str">
        <f>IF(AND('331-CT'!$E$7=TH!H381,OR(L381="331",M381="331")),"331",IF(AND(OR(L381="131",M381="131"),H381='131-CT'!$E$7),"131",""))</f>
        <v/>
      </c>
      <c r="O381" s="38" t="str">
        <f>IF(AND($B381&gt;='111'!$N$11,$B381&lt;='111'!$O$11,OR($L381=$O$7,$M381=$O$7)),"x","")</f>
        <v/>
      </c>
      <c r="P381" s="38" t="str">
        <f>IF(AND($L381=$O$7,$B381&lt;'111'!$N$11),"x","")</f>
        <v/>
      </c>
      <c r="Q381" s="38" t="str">
        <f>IF(AND($M381=$O$7,$B381&lt;'111'!$N$11),"x","")</f>
        <v/>
      </c>
      <c r="R381" s="38" t="str">
        <f>IF(ISERROR(FIND('112'!$M$9,G381,1)),"",IF((AND(FIND('112'!$M$9,G381,1)&gt;=1,$B381&gt;='112'!$N$8,$B381&lt;='112'!$O$8,OR($L381='112'!$I$6,$M381='112'!$I$6))),"x",""))</f>
        <v/>
      </c>
      <c r="S381" s="38" t="str">
        <f>IF(ISERROR(FIND('112'!$M$9,G381,1)),"",IF((AND(LEFT(G381,2)=LEFT('112'!$M$9,2),B381&lt;'112'!$N$8,$L381='112'!$I$6)),"x",""))</f>
        <v/>
      </c>
      <c r="T381" s="38" t="str">
        <f>IF(ISERROR(FIND('112'!$M$9,G381,1)),"",IF((AND(RIGHT(G381,2)=RIGHT('112'!$M$9,2),B381&lt;'112'!$N$8,$M381='112'!$I$6)),"x",""))</f>
        <v/>
      </c>
      <c r="U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38" t="str">
        <f>IF(OR(TH!L381=TH!$V$7,M381=TH!$V$7),"x","")</f>
        <v/>
      </c>
      <c r="W381" s="38" t="str">
        <f>IF(AND(B381&gt;='IN-NX'!$P$3,B381&lt;='IN-NX'!$Q$3,'IN-NX'!$D$7=D381,OR(LEFT(L381,2)="15",AND(LEFT(M381,2)&lt;&gt;"15",LEFT(M381,2)&lt;&gt;"33"))),"x","")</f>
        <v/>
      </c>
      <c r="X381" s="38" t="str">
        <f>IF(AND(OR(LEFT(TH!L381,2)="15",LEFT(TH!M381,2)="15"),'152-CT'!$J$8=TH!F381),"x","")</f>
        <v/>
      </c>
      <c r="Y381" s="38" t="str">
        <f>IF(AND(OR(LEFT(TH!L381,2)="15",LEFT(TH!M381,2)="15"),TK!$E$7=TH!F381),"x","")</f>
        <v/>
      </c>
      <c r="Z381" s="38" t="str">
        <f>IF(AND(B381&lt;=NKC!$N$8,B381&gt;=NKC!$M$8),"x","")</f>
        <v/>
      </c>
      <c r="AA381" s="845"/>
      <c r="AB381" s="581"/>
    </row>
    <row r="382" spans="1:28" s="201" customFormat="1" ht="15.75" customHeight="1">
      <c r="A382" s="846" t="str">
        <f>IF(B382&lt;&gt;"",IF(AND(B382&gt;=_TM1,B382&lt;=_TM2,OR(TH!L382="1111",TH!M382="1111")),TH!D382,""),"")</f>
        <v/>
      </c>
      <c r="B382" s="36" t="str">
        <f t="shared" si="11"/>
        <v/>
      </c>
      <c r="C382" s="187"/>
      <c r="D382" s="187"/>
      <c r="E382" s="187"/>
      <c r="F382" s="39"/>
      <c r="G382" s="854"/>
      <c r="H382" s="189"/>
      <c r="I382" s="249"/>
      <c r="J382" s="249"/>
      <c r="K382" s="589"/>
      <c r="L382" s="590"/>
      <c r="M382" s="590"/>
      <c r="N382" s="38" t="str">
        <f>IF(AND('331-CT'!$E$7=TH!H382,OR(L382="331",M382="331")),"331",IF(AND(OR(L382="131",M382="131"),H382='131-CT'!$E$7),"131",""))</f>
        <v/>
      </c>
      <c r="O382" s="38" t="str">
        <f>IF(AND($B382&gt;='111'!$N$11,$B382&lt;='111'!$O$11,OR($L382=$O$7,$M382=$O$7)),"x","")</f>
        <v/>
      </c>
      <c r="P382" s="38" t="str">
        <f>IF(AND($L382=$O$7,$B382&lt;'111'!$N$11),"x","")</f>
        <v/>
      </c>
      <c r="Q382" s="38" t="str">
        <f>IF(AND($M382=$O$7,$B382&lt;'111'!$N$11),"x","")</f>
        <v/>
      </c>
      <c r="R382" s="38" t="str">
        <f>IF(ISERROR(FIND('112'!$M$9,G382,1)),"",IF((AND(FIND('112'!$M$9,G382,1)&gt;=1,$B382&gt;='112'!$N$8,$B382&lt;='112'!$O$8,OR($L382='112'!$I$6,$M382='112'!$I$6))),"x",""))</f>
        <v/>
      </c>
      <c r="S382" s="38" t="str">
        <f>IF(ISERROR(FIND('112'!$M$9,G382,1)),"",IF((AND(LEFT(G382,2)=LEFT('112'!$M$9,2),B382&lt;'112'!$N$8,$L382='112'!$I$6)),"x",""))</f>
        <v/>
      </c>
      <c r="T382" s="38" t="str">
        <f>IF(ISERROR(FIND('112'!$M$9,G382,1)),"",IF((AND(RIGHT(G382,2)=RIGHT('112'!$M$9,2),B382&lt;'112'!$N$8,$M382='112'!$I$6)),"x",""))</f>
        <v/>
      </c>
      <c r="U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38" t="str">
        <f>IF(OR(TH!L382=TH!$V$7,M382=TH!$V$7),"x","")</f>
        <v/>
      </c>
      <c r="W382" s="38" t="str">
        <f>IF(AND(B382&gt;='IN-NX'!$P$3,B382&lt;='IN-NX'!$Q$3,'IN-NX'!$D$7=D382,OR(LEFT(L382,2)="15",AND(LEFT(M382,2)&lt;&gt;"15",LEFT(M382,2)&lt;&gt;"33"))),"x","")</f>
        <v/>
      </c>
      <c r="X382" s="38" t="str">
        <f>IF(AND(OR(LEFT(TH!L382,2)="15",LEFT(TH!M382,2)="15"),'152-CT'!$J$8=TH!F382),"x","")</f>
        <v/>
      </c>
      <c r="Y382" s="38" t="str">
        <f>IF(AND(OR(LEFT(TH!L382,2)="15",LEFT(TH!M382,2)="15"),TK!$E$7=TH!F382),"x","")</f>
        <v/>
      </c>
      <c r="Z382" s="38" t="str">
        <f>IF(AND(B382&lt;=NKC!$N$8,B382&gt;=NKC!$M$8),"x","")</f>
        <v/>
      </c>
      <c r="AA382" s="845"/>
      <c r="AB382" s="581"/>
    </row>
    <row r="383" spans="1:28" s="201" customFormat="1" ht="15.75" customHeight="1">
      <c r="A383" s="846" t="str">
        <f>IF(B383&lt;&gt;"",IF(AND(B383&gt;=_TM1,B383&lt;=_TM2,OR(TH!L383="1111",TH!M383="1111")),TH!D383,""),"")</f>
        <v/>
      </c>
      <c r="B383" s="36" t="str">
        <f t="shared" si="11"/>
        <v/>
      </c>
      <c r="C383" s="187"/>
      <c r="D383" s="187"/>
      <c r="E383" s="187"/>
      <c r="F383" s="39"/>
      <c r="G383" s="854"/>
      <c r="H383" s="189"/>
      <c r="I383" s="249"/>
      <c r="J383" s="249"/>
      <c r="K383" s="589"/>
      <c r="L383" s="590"/>
      <c r="M383" s="590"/>
      <c r="N383" s="38" t="str">
        <f>IF(AND('331-CT'!$E$7=TH!H383,OR(L383="331",M383="331")),"331",IF(AND(OR(L383="131",M383="131"),H383='131-CT'!$E$7),"131",""))</f>
        <v/>
      </c>
      <c r="O383" s="38" t="str">
        <f>IF(AND($B383&gt;='111'!$N$11,$B383&lt;='111'!$O$11,OR($L383=$O$7,$M383=$O$7)),"x","")</f>
        <v/>
      </c>
      <c r="P383" s="38" t="str">
        <f>IF(AND($L383=$O$7,$B383&lt;'111'!$N$11),"x","")</f>
        <v/>
      </c>
      <c r="Q383" s="38" t="str">
        <f>IF(AND($M383=$O$7,$B383&lt;'111'!$N$11),"x","")</f>
        <v/>
      </c>
      <c r="R383" s="38" t="str">
        <f>IF(ISERROR(FIND('112'!$M$9,G383,1)),"",IF((AND(FIND('112'!$M$9,G383,1)&gt;=1,$B383&gt;='112'!$N$8,$B383&lt;='112'!$O$8,OR($L383='112'!$I$6,$M383='112'!$I$6))),"x",""))</f>
        <v/>
      </c>
      <c r="S383" s="38" t="str">
        <f>IF(ISERROR(FIND('112'!$M$9,G383,1)),"",IF((AND(LEFT(G383,2)=LEFT('112'!$M$9,2),B383&lt;'112'!$N$8,$L383='112'!$I$6)),"x",""))</f>
        <v/>
      </c>
      <c r="T383" s="38" t="str">
        <f>IF(ISERROR(FIND('112'!$M$9,G383,1)),"",IF((AND(RIGHT(G383,2)=RIGHT('112'!$M$9,2),B383&lt;'112'!$N$8,$M383='112'!$I$6)),"x",""))</f>
        <v/>
      </c>
      <c r="U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38" t="str">
        <f>IF(OR(TH!L383=TH!$V$7,M383=TH!$V$7),"x","")</f>
        <v/>
      </c>
      <c r="W383" s="38" t="str">
        <f>IF(AND(B383&gt;='IN-NX'!$P$3,B383&lt;='IN-NX'!$Q$3,'IN-NX'!$D$7=D383,OR(LEFT(L383,2)="15",AND(LEFT(M383,2)&lt;&gt;"15",LEFT(M383,2)&lt;&gt;"33"))),"x","")</f>
        <v/>
      </c>
      <c r="X383" s="38" t="str">
        <f>IF(AND(OR(LEFT(TH!L383,2)="15",LEFT(TH!M383,2)="15"),'152-CT'!$J$8=TH!F383),"x","")</f>
        <v/>
      </c>
      <c r="Y383" s="38" t="str">
        <f>IF(AND(OR(LEFT(TH!L383,2)="15",LEFT(TH!M383,2)="15"),TK!$E$7=TH!F383),"x","")</f>
        <v/>
      </c>
      <c r="Z383" s="38" t="str">
        <f>IF(AND(B383&lt;=NKC!$N$8,B383&gt;=NKC!$M$8),"x","")</f>
        <v/>
      </c>
      <c r="AA383" s="845"/>
      <c r="AB383" s="581"/>
    </row>
    <row r="384" spans="1:28" s="201" customFormat="1" ht="15.75" customHeight="1">
      <c r="A384" s="846" t="str">
        <f>IF(B384&lt;&gt;"",IF(AND(B384&gt;=_TM1,B384&lt;=_TM2,OR(TH!L384="1111",TH!M384="1111")),TH!D384,""),"")</f>
        <v/>
      </c>
      <c r="B384" s="36" t="str">
        <f t="shared" si="11"/>
        <v/>
      </c>
      <c r="C384" s="187"/>
      <c r="D384" s="187"/>
      <c r="E384" s="187"/>
      <c r="F384" s="188"/>
      <c r="G384" s="854"/>
      <c r="H384" s="189"/>
      <c r="I384" s="249"/>
      <c r="J384" s="249"/>
      <c r="K384" s="589"/>
      <c r="L384" s="590"/>
      <c r="M384" s="590"/>
      <c r="N384" s="38" t="str">
        <f>IF(AND('331-CT'!$E$7=TH!H384,OR(L384="331",M384="331")),"331",IF(AND(OR(L384="131",M384="131"),H384='131-CT'!$E$7),"131",""))</f>
        <v/>
      </c>
      <c r="O384" s="38" t="str">
        <f>IF(AND($B384&gt;='111'!$N$11,$B384&lt;='111'!$O$11,OR($L384=$O$7,$M384=$O$7)),"x","")</f>
        <v/>
      </c>
      <c r="P384" s="38" t="str">
        <f>IF(AND($L384=$O$7,$B384&lt;'111'!$N$11),"x","")</f>
        <v/>
      </c>
      <c r="Q384" s="38" t="str">
        <f>IF(AND($M384=$O$7,$B384&lt;'111'!$N$11),"x","")</f>
        <v/>
      </c>
      <c r="R384" s="38" t="str">
        <f>IF(ISERROR(FIND('112'!$M$9,G384,1)),"",IF((AND(FIND('112'!$M$9,G384,1)&gt;=1,$B384&gt;='112'!$N$8,$B384&lt;='112'!$O$8,OR($L384='112'!$I$6,$M384='112'!$I$6))),"x",""))</f>
        <v/>
      </c>
      <c r="S384" s="38" t="str">
        <f>IF(ISERROR(FIND('112'!$M$9,G384,1)),"",IF((AND(LEFT(G384,2)=LEFT('112'!$M$9,2),B384&lt;'112'!$N$8,$L384='112'!$I$6)),"x",""))</f>
        <v/>
      </c>
      <c r="T384" s="38" t="str">
        <f>IF(ISERROR(FIND('112'!$M$9,G384,1)),"",IF((AND(RIGHT(G384,2)=RIGHT('112'!$M$9,2),B384&lt;'112'!$N$8,$M384='112'!$I$6)),"x",""))</f>
        <v/>
      </c>
      <c r="U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38" t="str">
        <f>IF(OR(TH!L384=TH!$V$7,M384=TH!$V$7),"x","")</f>
        <v/>
      </c>
      <c r="W384" s="38" t="str">
        <f>IF(AND(B384&gt;='IN-NX'!$P$3,B384&lt;='IN-NX'!$Q$3,'IN-NX'!$D$7=D384,OR(LEFT(L384,2)="15",AND(LEFT(M384,2)&lt;&gt;"15",LEFT(M384,2)&lt;&gt;"33"))),"x","")</f>
        <v/>
      </c>
      <c r="X384" s="38" t="str">
        <f>IF(AND(OR(LEFT(TH!L384,2)="15",LEFT(TH!M384,2)="15"),'152-CT'!$J$8=TH!F384),"x","")</f>
        <v/>
      </c>
      <c r="Y384" s="38" t="str">
        <f>IF(AND(OR(LEFT(TH!L384,2)="15",LEFT(TH!M384,2)="15"),TK!$E$7=TH!F384),"x","")</f>
        <v/>
      </c>
      <c r="Z384" s="38" t="str">
        <f>IF(AND(B384&lt;=NKC!$N$8,B384&gt;=NKC!$M$8),"x","")</f>
        <v/>
      </c>
      <c r="AA384" s="845"/>
      <c r="AB384" s="581"/>
    </row>
    <row r="385" spans="1:28" s="201" customFormat="1" ht="15.75" customHeight="1">
      <c r="A385" s="846" t="str">
        <f>IF(B385&lt;&gt;"",IF(AND(B385&gt;=_TM1,B385&lt;=_TM2,OR(TH!L385="1111",TH!M385="1111")),TH!D385,""),"")</f>
        <v/>
      </c>
      <c r="B385" s="36" t="str">
        <f t="shared" si="11"/>
        <v/>
      </c>
      <c r="C385" s="187"/>
      <c r="D385" s="187"/>
      <c r="E385" s="187"/>
      <c r="F385" s="188"/>
      <c r="G385" s="854"/>
      <c r="H385" s="189"/>
      <c r="I385" s="249"/>
      <c r="J385" s="249"/>
      <c r="K385" s="589"/>
      <c r="L385" s="590"/>
      <c r="M385" s="590"/>
      <c r="N385" s="38" t="str">
        <f>IF(AND('331-CT'!$E$7=TH!H385,OR(L385="331",M385="331")),"331",IF(AND(OR(L385="131",M385="131"),H385='131-CT'!$E$7),"131",""))</f>
        <v/>
      </c>
      <c r="O385" s="38" t="str">
        <f>IF(AND($B385&gt;='111'!$N$11,$B385&lt;='111'!$O$11,OR($L385=$O$7,$M385=$O$7)),"x","")</f>
        <v/>
      </c>
      <c r="P385" s="38" t="str">
        <f>IF(AND($L385=$O$7,$B385&lt;'111'!$N$11),"x","")</f>
        <v/>
      </c>
      <c r="Q385" s="38" t="str">
        <f>IF(AND($M385=$O$7,$B385&lt;'111'!$N$11),"x","")</f>
        <v/>
      </c>
      <c r="R385" s="38" t="str">
        <f>IF(ISERROR(FIND('112'!$M$9,G385,1)),"",IF((AND(FIND('112'!$M$9,G385,1)&gt;=1,$B385&gt;='112'!$N$8,$B385&lt;='112'!$O$8,OR($L385='112'!$I$6,$M385='112'!$I$6))),"x",""))</f>
        <v/>
      </c>
      <c r="S385" s="38" t="str">
        <f>IF(ISERROR(FIND('112'!$M$9,G385,1)),"",IF((AND(LEFT(G385,2)=LEFT('112'!$M$9,2),B385&lt;'112'!$N$8,$L385='112'!$I$6)),"x",""))</f>
        <v/>
      </c>
      <c r="T385" s="38" t="str">
        <f>IF(ISERROR(FIND('112'!$M$9,G385,1)),"",IF((AND(RIGHT(G385,2)=RIGHT('112'!$M$9,2),B385&lt;'112'!$N$8,$M385='112'!$I$6)),"x",""))</f>
        <v/>
      </c>
      <c r="U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38" t="str">
        <f>IF(OR(TH!L385=TH!$V$7,M385=TH!$V$7),"x","")</f>
        <v/>
      </c>
      <c r="W385" s="38" t="str">
        <f>IF(AND(B385&gt;='IN-NX'!$P$3,B385&lt;='IN-NX'!$Q$3,'IN-NX'!$D$7=D385,OR(LEFT(L385,2)="15",AND(LEFT(M385,2)&lt;&gt;"15",LEFT(M385,2)&lt;&gt;"33"))),"x","")</f>
        <v/>
      </c>
      <c r="X385" s="38" t="str">
        <f>IF(AND(OR(LEFT(TH!L385,2)="15",LEFT(TH!M385,2)="15"),'152-CT'!$J$8=TH!F385),"x","")</f>
        <v/>
      </c>
      <c r="Y385" s="38" t="str">
        <f>IF(AND(OR(LEFT(TH!L385,2)="15",LEFT(TH!M385,2)="15"),TK!$E$7=TH!F385),"x","")</f>
        <v/>
      </c>
      <c r="Z385" s="38" t="str">
        <f>IF(AND(B385&lt;=NKC!$N$8,B385&gt;=NKC!$M$8),"x","")</f>
        <v/>
      </c>
      <c r="AA385" s="845"/>
      <c r="AB385" s="581"/>
    </row>
    <row r="386" spans="1:28" s="201" customFormat="1" ht="15.75" customHeight="1">
      <c r="A386" s="846" t="str">
        <f>IF(B386&lt;&gt;"",IF(AND(B386&gt;=_TM1,B386&lt;=_TM2,OR(TH!L386="1111",TH!M386="1111")),TH!D386,""),"")</f>
        <v/>
      </c>
      <c r="B386" s="36" t="str">
        <f t="shared" si="11"/>
        <v/>
      </c>
      <c r="C386" s="187"/>
      <c r="D386" s="187"/>
      <c r="E386" s="187"/>
      <c r="F386" s="188"/>
      <c r="G386" s="854"/>
      <c r="H386" s="189"/>
      <c r="I386" s="249"/>
      <c r="J386" s="249"/>
      <c r="K386" s="589"/>
      <c r="L386" s="590"/>
      <c r="M386" s="590"/>
      <c r="N386" s="38" t="str">
        <f>IF(AND('331-CT'!$E$7=TH!H386,OR(L386="331",M386="331")),"331",IF(AND(OR(L386="131",M386="131"),H386='131-CT'!$E$7),"131",""))</f>
        <v/>
      </c>
      <c r="O386" s="38" t="str">
        <f>IF(AND($B386&gt;='111'!$N$11,$B386&lt;='111'!$O$11,OR($L386=$O$7,$M386=$O$7)),"x","")</f>
        <v/>
      </c>
      <c r="P386" s="38" t="str">
        <f>IF(AND($L386=$O$7,$B386&lt;'111'!$N$11),"x","")</f>
        <v/>
      </c>
      <c r="Q386" s="38" t="str">
        <f>IF(AND($M386=$O$7,$B386&lt;'111'!$N$11),"x","")</f>
        <v/>
      </c>
      <c r="R386" s="38" t="str">
        <f>IF(ISERROR(FIND('112'!$M$9,G386,1)),"",IF((AND(FIND('112'!$M$9,G386,1)&gt;=1,$B386&gt;='112'!$N$8,$B386&lt;='112'!$O$8,OR($L386='112'!$I$6,$M386='112'!$I$6))),"x",""))</f>
        <v/>
      </c>
      <c r="S386" s="38" t="str">
        <f>IF(ISERROR(FIND('112'!$M$9,G386,1)),"",IF((AND(LEFT(G386,2)=LEFT('112'!$M$9,2),B386&lt;'112'!$N$8,$L386='112'!$I$6)),"x",""))</f>
        <v/>
      </c>
      <c r="T386" s="38" t="str">
        <f>IF(ISERROR(FIND('112'!$M$9,G386,1)),"",IF((AND(RIGHT(G386,2)=RIGHT('112'!$M$9,2),B386&lt;'112'!$N$8,$M386='112'!$I$6)),"x",""))</f>
        <v/>
      </c>
      <c r="U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38" t="str">
        <f>IF(OR(TH!L386=TH!$V$7,M386=TH!$V$7),"x","")</f>
        <v/>
      </c>
      <c r="W386" s="38" t="str">
        <f>IF(AND(B386&gt;='IN-NX'!$P$3,B386&lt;='IN-NX'!$Q$3,'IN-NX'!$D$7=D386,OR(LEFT(L386,2)="15",AND(LEFT(M386,2)&lt;&gt;"15",LEFT(M386,2)&lt;&gt;"33"))),"x","")</f>
        <v/>
      </c>
      <c r="X386" s="38" t="str">
        <f>IF(AND(OR(LEFT(TH!L386,2)="15",LEFT(TH!M386,2)="15"),'152-CT'!$J$8=TH!F386),"x","")</f>
        <v/>
      </c>
      <c r="Y386" s="38" t="str">
        <f>IF(AND(OR(LEFT(TH!L386,2)="15",LEFT(TH!M386,2)="15"),TK!$E$7=TH!F386),"x","")</f>
        <v/>
      </c>
      <c r="Z386" s="38" t="str">
        <f>IF(AND(B386&lt;=NKC!$N$8,B386&gt;=NKC!$M$8),"x","")</f>
        <v/>
      </c>
      <c r="AA386" s="845"/>
      <c r="AB386" s="581"/>
    </row>
    <row r="387" spans="1:28" s="201" customFormat="1" ht="15.75" customHeight="1">
      <c r="A387" s="846" t="str">
        <f>IF(B387&lt;&gt;"",IF(AND(B387&gt;=_TM1,B387&lt;=_TM2,OR(TH!L387="1111",TH!M387="1111")),TH!D387,""),"")</f>
        <v/>
      </c>
      <c r="B387" s="36" t="str">
        <f t="shared" si="11"/>
        <v/>
      </c>
      <c r="C387" s="187"/>
      <c r="D387" s="187"/>
      <c r="E387" s="187"/>
      <c r="F387" s="188"/>
      <c r="G387" s="854"/>
      <c r="H387" s="189"/>
      <c r="I387" s="250"/>
      <c r="J387" s="249"/>
      <c r="K387" s="589"/>
      <c r="L387" s="590"/>
      <c r="M387" s="590"/>
      <c r="N387" s="38" t="str">
        <f>IF(AND('331-CT'!$E$7=TH!H387,OR(L387="331",M387="331")),"331",IF(AND(OR(L387="131",M387="131"),H387='131-CT'!$E$7),"131",""))</f>
        <v/>
      </c>
      <c r="O387" s="38" t="str">
        <f>IF(AND($B387&gt;='111'!$N$11,$B387&lt;='111'!$O$11,OR($L387=$O$7,$M387=$O$7)),"x","")</f>
        <v/>
      </c>
      <c r="P387" s="38" t="str">
        <f>IF(AND($L387=$O$7,$B387&lt;'111'!$N$11),"x","")</f>
        <v/>
      </c>
      <c r="Q387" s="38" t="str">
        <f>IF(AND($M387=$O$7,$B387&lt;'111'!$N$11),"x","")</f>
        <v/>
      </c>
      <c r="R387" s="38" t="str">
        <f>IF(ISERROR(FIND('112'!$M$9,G387,1)),"",IF((AND(FIND('112'!$M$9,G387,1)&gt;=1,$B387&gt;='112'!$N$8,$B387&lt;='112'!$O$8,OR($L387='112'!$I$6,$M387='112'!$I$6))),"x",""))</f>
        <v/>
      </c>
      <c r="S387" s="38" t="str">
        <f>IF(ISERROR(FIND('112'!$M$9,G387,1)),"",IF((AND(LEFT(G387,2)=LEFT('112'!$M$9,2),B387&lt;'112'!$N$8,$L387='112'!$I$6)),"x",""))</f>
        <v/>
      </c>
      <c r="T387" s="38" t="str">
        <f>IF(ISERROR(FIND('112'!$M$9,G387,1)),"",IF((AND(RIGHT(G387,2)=RIGHT('112'!$M$9,2),B387&lt;'112'!$N$8,$M387='112'!$I$6)),"x",""))</f>
        <v/>
      </c>
      <c r="U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38" t="str">
        <f>IF(OR(TH!L387=TH!$V$7,M387=TH!$V$7),"x","")</f>
        <v/>
      </c>
      <c r="W387" s="38" t="str">
        <f>IF(AND(B387&gt;='IN-NX'!$P$3,B387&lt;='IN-NX'!$Q$3,'IN-NX'!$D$7=D387,OR(LEFT(L387,2)="15",AND(LEFT(M387,2)&lt;&gt;"15",LEFT(M387,2)&lt;&gt;"33"))),"x","")</f>
        <v/>
      </c>
      <c r="X387" s="38" t="str">
        <f>IF(AND(OR(LEFT(TH!L387,2)="15",LEFT(TH!M387,2)="15"),'152-CT'!$J$8=TH!F387),"x","")</f>
        <v/>
      </c>
      <c r="Y387" s="38" t="str">
        <f>IF(AND(OR(LEFT(TH!L387,2)="15",LEFT(TH!M387,2)="15"),TK!$E$7=TH!F387),"x","")</f>
        <v/>
      </c>
      <c r="Z387" s="38" t="str">
        <f>IF(AND(B387&lt;=NKC!$N$8,B387&gt;=NKC!$M$8),"x","")</f>
        <v/>
      </c>
      <c r="AA387" s="845"/>
      <c r="AB387" s="581"/>
    </row>
    <row r="388" spans="1:28" s="201" customFormat="1" ht="15.75" customHeight="1">
      <c r="A388" s="846" t="str">
        <f>IF(B388&lt;&gt;"",IF(AND(B388&gt;=_TM1,B388&lt;=_TM2,OR(TH!L388="1111",TH!M388="1111")),TH!D388,""),"")</f>
        <v/>
      </c>
      <c r="B388" s="36" t="str">
        <f t="shared" si="11"/>
        <v/>
      </c>
      <c r="C388" s="187"/>
      <c r="D388" s="187"/>
      <c r="E388" s="187"/>
      <c r="F388" s="188"/>
      <c r="G388" s="854"/>
      <c r="H388" s="189"/>
      <c r="I388" s="250"/>
      <c r="J388" s="249"/>
      <c r="K388" s="589"/>
      <c r="L388" s="590"/>
      <c r="M388" s="590"/>
      <c r="N388" s="38" t="str">
        <f>IF(AND('331-CT'!$E$7=TH!H388,OR(L388="331",M388="331")),"331",IF(AND(OR(L388="131",M388="131"),H388='131-CT'!$E$7),"131",""))</f>
        <v/>
      </c>
      <c r="O388" s="38" t="str">
        <f>IF(AND($B388&gt;='111'!$N$11,$B388&lt;='111'!$O$11,OR($L388=$O$7,$M388=$O$7)),"x","")</f>
        <v/>
      </c>
      <c r="P388" s="38" t="str">
        <f>IF(AND($L388=$O$7,$B388&lt;'111'!$N$11),"x","")</f>
        <v/>
      </c>
      <c r="Q388" s="38" t="str">
        <f>IF(AND($M388=$O$7,$B388&lt;'111'!$N$11),"x","")</f>
        <v/>
      </c>
      <c r="R388" s="38" t="str">
        <f>IF(ISERROR(FIND('112'!$M$9,G388,1)),"",IF((AND(FIND('112'!$M$9,G388,1)&gt;=1,$B388&gt;='112'!$N$8,$B388&lt;='112'!$O$8,OR($L388='112'!$I$6,$M388='112'!$I$6))),"x",""))</f>
        <v/>
      </c>
      <c r="S388" s="38" t="str">
        <f>IF(ISERROR(FIND('112'!$M$9,G388,1)),"",IF((AND(LEFT(G388,2)=LEFT('112'!$M$9,2),B388&lt;'112'!$N$8,$L388='112'!$I$6)),"x",""))</f>
        <v/>
      </c>
      <c r="T388" s="38" t="str">
        <f>IF(ISERROR(FIND('112'!$M$9,G388,1)),"",IF((AND(RIGHT(G388,2)=RIGHT('112'!$M$9,2),B388&lt;'112'!$N$8,$M388='112'!$I$6)),"x",""))</f>
        <v/>
      </c>
      <c r="U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38" t="str">
        <f>IF(OR(TH!L388=TH!$V$7,M388=TH!$V$7),"x","")</f>
        <v/>
      </c>
      <c r="W388" s="38" t="str">
        <f>IF(AND(B388&gt;='IN-NX'!$P$3,B388&lt;='IN-NX'!$Q$3,'IN-NX'!$D$7=D388,OR(LEFT(L388,2)="15",AND(LEFT(M388,2)&lt;&gt;"15",LEFT(M388,2)&lt;&gt;"33"))),"x","")</f>
        <v/>
      </c>
      <c r="X388" s="38" t="str">
        <f>IF(AND(OR(LEFT(TH!L388,2)="15",LEFT(TH!M388,2)="15"),'152-CT'!$J$8=TH!F388),"x","")</f>
        <v/>
      </c>
      <c r="Y388" s="38" t="str">
        <f>IF(AND(OR(LEFT(TH!L388,2)="15",LEFT(TH!M388,2)="15"),TK!$E$7=TH!F388),"x","")</f>
        <v/>
      </c>
      <c r="Z388" s="38" t="str">
        <f>IF(AND(B388&lt;=NKC!$N$8,B388&gt;=NKC!$M$8),"x","")</f>
        <v/>
      </c>
      <c r="AA388" s="845"/>
      <c r="AB388" s="581"/>
    </row>
    <row r="389" spans="1:28" s="201" customFormat="1" ht="15.75" customHeight="1">
      <c r="A389" s="846" t="str">
        <f>IF(B389&lt;&gt;"",IF(AND(B389&gt;=_TM1,B389&lt;=_TM2,OR(TH!L389="1111",TH!M389="1111")),TH!D389,""),"")</f>
        <v/>
      </c>
      <c r="B389" s="36" t="str">
        <f t="shared" si="11"/>
        <v/>
      </c>
      <c r="C389" s="187"/>
      <c r="D389" s="187"/>
      <c r="E389" s="187"/>
      <c r="F389" s="39"/>
      <c r="G389" s="854"/>
      <c r="H389" s="189"/>
      <c r="I389" s="249"/>
      <c r="J389" s="249"/>
      <c r="K389" s="589"/>
      <c r="L389" s="590"/>
      <c r="M389" s="590"/>
      <c r="N389" s="38" t="str">
        <f>IF(AND('331-CT'!$E$7=TH!H389,OR(L389="331",M389="331")),"331",IF(AND(OR(L389="131",M389="131"),H389='131-CT'!$E$7),"131",""))</f>
        <v/>
      </c>
      <c r="O389" s="38" t="str">
        <f>IF(AND($B389&gt;='111'!$N$11,$B389&lt;='111'!$O$11,OR($L389=$O$7,$M389=$O$7)),"x","")</f>
        <v/>
      </c>
      <c r="P389" s="38" t="str">
        <f>IF(AND($L389=$O$7,$B389&lt;'111'!$N$11),"x","")</f>
        <v/>
      </c>
      <c r="Q389" s="38" t="str">
        <f>IF(AND($M389=$O$7,$B389&lt;'111'!$N$11),"x","")</f>
        <v/>
      </c>
      <c r="R389" s="38" t="str">
        <f>IF(ISERROR(FIND('112'!$M$9,G389,1)),"",IF((AND(FIND('112'!$M$9,G389,1)&gt;=1,$B389&gt;='112'!$N$8,$B389&lt;='112'!$O$8,OR($L389='112'!$I$6,$M389='112'!$I$6))),"x",""))</f>
        <v/>
      </c>
      <c r="S389" s="38" t="str">
        <f>IF(ISERROR(FIND('112'!$M$9,G389,1)),"",IF((AND(LEFT(G389,2)=LEFT('112'!$M$9,2),B389&lt;'112'!$N$8,$L389='112'!$I$6)),"x",""))</f>
        <v/>
      </c>
      <c r="T389" s="38" t="str">
        <f>IF(ISERROR(FIND('112'!$M$9,G389,1)),"",IF((AND(RIGHT(G389,2)=RIGHT('112'!$M$9,2),B389&lt;'112'!$N$8,$M389='112'!$I$6)),"x",""))</f>
        <v/>
      </c>
      <c r="U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38" t="str">
        <f>IF(OR(TH!L389=TH!$V$7,M389=TH!$V$7),"x","")</f>
        <v/>
      </c>
      <c r="W389" s="38" t="str">
        <f>IF(AND(B389&gt;='IN-NX'!$P$3,B389&lt;='IN-NX'!$Q$3,'IN-NX'!$D$7=D389,OR(LEFT(L389,2)="15",AND(LEFT(M389,2)&lt;&gt;"15",LEFT(M389,2)&lt;&gt;"33"))),"x","")</f>
        <v/>
      </c>
      <c r="X389" s="38" t="str">
        <f>IF(AND(OR(LEFT(TH!L389,2)="15",LEFT(TH!M389,2)="15"),'152-CT'!$J$8=TH!F389),"x","")</f>
        <v/>
      </c>
      <c r="Y389" s="38" t="str">
        <f>IF(AND(OR(LEFT(TH!L389,2)="15",LEFT(TH!M389,2)="15"),TK!$E$7=TH!F389),"x","")</f>
        <v/>
      </c>
      <c r="Z389" s="38" t="str">
        <f>IF(AND(B389&lt;=NKC!$N$8,B389&gt;=NKC!$M$8),"x","")</f>
        <v/>
      </c>
      <c r="AA389" s="845"/>
      <c r="AB389" s="581"/>
    </row>
    <row r="390" spans="1:28" s="201" customFormat="1" ht="15.75" customHeight="1">
      <c r="A390" s="846" t="str">
        <f>IF(B390&lt;&gt;"",IF(AND(B390&gt;=_TM1,B390&lt;=_TM2,OR(TH!L390="1111",TH!M390="1111")),TH!D390,""),"")</f>
        <v/>
      </c>
      <c r="B390" s="36" t="str">
        <f t="shared" si="11"/>
        <v/>
      </c>
      <c r="C390" s="187"/>
      <c r="D390" s="187"/>
      <c r="E390" s="187"/>
      <c r="F390" s="185"/>
      <c r="G390" s="854"/>
      <c r="H390" s="189"/>
      <c r="I390" s="249"/>
      <c r="J390" s="249"/>
      <c r="K390" s="589"/>
      <c r="L390" s="590"/>
      <c r="M390" s="590"/>
      <c r="N390" s="38" t="str">
        <f>IF(AND('331-CT'!$E$7=TH!H390,OR(L390="331",M390="331")),"331",IF(AND(OR(L390="131",M390="131"),H390='131-CT'!$E$7),"131",""))</f>
        <v/>
      </c>
      <c r="O390" s="38" t="str">
        <f>IF(AND($B390&gt;='111'!$N$11,$B390&lt;='111'!$O$11,OR($L390=$O$7,$M390=$O$7)),"x","")</f>
        <v/>
      </c>
      <c r="P390" s="38" t="str">
        <f>IF(AND($L390=$O$7,$B390&lt;'111'!$N$11),"x","")</f>
        <v/>
      </c>
      <c r="Q390" s="38" t="str">
        <f>IF(AND($M390=$O$7,$B390&lt;'111'!$N$11),"x","")</f>
        <v/>
      </c>
      <c r="R390" s="38" t="str">
        <f>IF(ISERROR(FIND('112'!$M$9,G390,1)),"",IF((AND(FIND('112'!$M$9,G390,1)&gt;=1,$B390&gt;='112'!$N$8,$B390&lt;='112'!$O$8,OR($L390='112'!$I$6,$M390='112'!$I$6))),"x",""))</f>
        <v/>
      </c>
      <c r="S390" s="38" t="str">
        <f>IF(ISERROR(FIND('112'!$M$9,G390,1)),"",IF((AND(LEFT(G390,2)=LEFT('112'!$M$9,2),B390&lt;'112'!$N$8,$L390='112'!$I$6)),"x",""))</f>
        <v/>
      </c>
      <c r="T390" s="38" t="str">
        <f>IF(ISERROR(FIND('112'!$M$9,G390,1)),"",IF((AND(RIGHT(G390,2)=RIGHT('112'!$M$9,2),B390&lt;'112'!$N$8,$M390='112'!$I$6)),"x",""))</f>
        <v/>
      </c>
      <c r="U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38" t="str">
        <f>IF(OR(TH!L390=TH!$V$7,M390=TH!$V$7),"x","")</f>
        <v/>
      </c>
      <c r="W390" s="38" t="str">
        <f>IF(AND(B390&gt;='IN-NX'!$P$3,B390&lt;='IN-NX'!$Q$3,'IN-NX'!$D$7=D390,OR(LEFT(L390,2)="15",AND(LEFT(M390,2)&lt;&gt;"15",LEFT(M390,2)&lt;&gt;"33"))),"x","")</f>
        <v/>
      </c>
      <c r="X390" s="38" t="str">
        <f>IF(AND(OR(LEFT(TH!L390,2)="15",LEFT(TH!M390,2)="15"),'152-CT'!$J$8=TH!F390),"x","")</f>
        <v/>
      </c>
      <c r="Y390" s="38" t="str">
        <f>IF(AND(OR(LEFT(TH!L390,2)="15",LEFT(TH!M390,2)="15"),TK!$E$7=TH!F390),"x","")</f>
        <v/>
      </c>
      <c r="Z390" s="38" t="str">
        <f>IF(AND(B390&lt;=NKC!$N$8,B390&gt;=NKC!$M$8),"x","")</f>
        <v/>
      </c>
      <c r="AA390" s="845"/>
      <c r="AB390" s="581"/>
    </row>
    <row r="391" spans="1:28" s="201" customFormat="1" ht="15.75" customHeight="1">
      <c r="A391" s="846" t="str">
        <f>IF(B391&lt;&gt;"",IF(AND(B391&gt;=_TM1,B391&lt;=_TM2,OR(TH!L391="1111",TH!M391="1111")),TH!D391,""),"")</f>
        <v/>
      </c>
      <c r="B391" s="36" t="str">
        <f t="shared" si="11"/>
        <v/>
      </c>
      <c r="C391" s="187"/>
      <c r="D391" s="187"/>
      <c r="E391" s="187"/>
      <c r="F391" s="185"/>
      <c r="G391" s="854"/>
      <c r="H391" s="189"/>
      <c r="I391" s="249"/>
      <c r="J391" s="249"/>
      <c r="K391" s="589"/>
      <c r="L391" s="590"/>
      <c r="M391" s="590"/>
      <c r="N391" s="38" t="str">
        <f>IF(AND('331-CT'!$E$7=TH!H391,OR(L391="331",M391="331")),"331",IF(AND(OR(L391="131",M391="131"),H391='131-CT'!$E$7),"131",""))</f>
        <v/>
      </c>
      <c r="O391" s="38" t="str">
        <f>IF(AND($B391&gt;='111'!$N$11,$B391&lt;='111'!$O$11,OR($L391=$O$7,$M391=$O$7)),"x","")</f>
        <v/>
      </c>
      <c r="P391" s="38" t="str">
        <f>IF(AND($L391=$O$7,$B391&lt;'111'!$N$11),"x","")</f>
        <v/>
      </c>
      <c r="Q391" s="38" t="str">
        <f>IF(AND($M391=$O$7,$B391&lt;'111'!$N$11),"x","")</f>
        <v/>
      </c>
      <c r="R391" s="38" t="str">
        <f>IF(ISERROR(FIND('112'!$M$9,G391,1)),"",IF((AND(FIND('112'!$M$9,G391,1)&gt;=1,$B391&gt;='112'!$N$8,$B391&lt;='112'!$O$8,OR($L391='112'!$I$6,$M391='112'!$I$6))),"x",""))</f>
        <v/>
      </c>
      <c r="S391" s="38" t="str">
        <f>IF(ISERROR(FIND('112'!$M$9,G391,1)),"",IF((AND(LEFT(G391,2)=LEFT('112'!$M$9,2),B391&lt;'112'!$N$8,$L391='112'!$I$6)),"x",""))</f>
        <v/>
      </c>
      <c r="T391" s="38" t="str">
        <f>IF(ISERROR(FIND('112'!$M$9,G391,1)),"",IF((AND(RIGHT(G391,2)=RIGHT('112'!$M$9,2),B391&lt;'112'!$N$8,$M391='112'!$I$6)),"x",""))</f>
        <v/>
      </c>
      <c r="U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38" t="str">
        <f>IF(OR(TH!L391=TH!$V$7,M391=TH!$V$7),"x","")</f>
        <v/>
      </c>
      <c r="W391" s="38" t="str">
        <f>IF(AND(B391&gt;='IN-NX'!$P$3,B391&lt;='IN-NX'!$Q$3,'IN-NX'!$D$7=D391,OR(LEFT(L391,2)="15",AND(LEFT(M391,2)&lt;&gt;"15",LEFT(M391,2)&lt;&gt;"33"))),"x","")</f>
        <v/>
      </c>
      <c r="X391" s="38" t="str">
        <f>IF(AND(OR(LEFT(TH!L391,2)="15",LEFT(TH!M391,2)="15"),'152-CT'!$J$8=TH!F391),"x","")</f>
        <v/>
      </c>
      <c r="Y391" s="38" t="str">
        <f>IF(AND(OR(LEFT(TH!L391,2)="15",LEFT(TH!M391,2)="15"),TK!$E$7=TH!F391),"x","")</f>
        <v/>
      </c>
      <c r="Z391" s="38" t="str">
        <f>IF(AND(B391&lt;=NKC!$N$8,B391&gt;=NKC!$M$8),"x","")</f>
        <v/>
      </c>
      <c r="AA391" s="845"/>
      <c r="AB391" s="581"/>
    </row>
    <row r="392" spans="1:28" s="201" customFormat="1" ht="15.75" customHeight="1">
      <c r="A392" s="846" t="str">
        <f>IF(B392&lt;&gt;"",IF(AND(B392&gt;=_TM1,B392&lt;=_TM2,OR(TH!L392="1111",TH!M392="1111")),TH!D392,""),"")</f>
        <v/>
      </c>
      <c r="B392" s="36" t="str">
        <f t="shared" si="11"/>
        <v/>
      </c>
      <c r="C392" s="187"/>
      <c r="D392" s="187"/>
      <c r="E392" s="187"/>
      <c r="F392" s="185"/>
      <c r="G392" s="854"/>
      <c r="H392" s="189"/>
      <c r="I392" s="249"/>
      <c r="J392" s="249"/>
      <c r="K392" s="589"/>
      <c r="L392" s="590"/>
      <c r="M392" s="590"/>
      <c r="N392" s="38" t="str">
        <f>IF(AND('331-CT'!$E$7=TH!H392,OR(L392="331",M392="331")),"331",IF(AND(OR(L392="131",M392="131"),H392='131-CT'!$E$7),"131",""))</f>
        <v/>
      </c>
      <c r="O392" s="38" t="str">
        <f>IF(AND($B392&gt;='111'!$N$11,$B392&lt;='111'!$O$11,OR($L392=$O$7,$M392=$O$7)),"x","")</f>
        <v/>
      </c>
      <c r="P392" s="38" t="str">
        <f>IF(AND($L392=$O$7,$B392&lt;'111'!$N$11),"x","")</f>
        <v/>
      </c>
      <c r="Q392" s="38" t="str">
        <f>IF(AND($M392=$O$7,$B392&lt;'111'!$N$11),"x","")</f>
        <v/>
      </c>
      <c r="R392" s="38" t="str">
        <f>IF(ISERROR(FIND('112'!$M$9,G392,1)),"",IF((AND(FIND('112'!$M$9,G392,1)&gt;=1,$B392&gt;='112'!$N$8,$B392&lt;='112'!$O$8,OR($L392='112'!$I$6,$M392='112'!$I$6))),"x",""))</f>
        <v/>
      </c>
      <c r="S392" s="38" t="str">
        <f>IF(ISERROR(FIND('112'!$M$9,G392,1)),"",IF((AND(LEFT(G392,2)=LEFT('112'!$M$9,2),B392&lt;'112'!$N$8,$L392='112'!$I$6)),"x",""))</f>
        <v/>
      </c>
      <c r="T392" s="38" t="str">
        <f>IF(ISERROR(FIND('112'!$M$9,G392,1)),"",IF((AND(RIGHT(G392,2)=RIGHT('112'!$M$9,2),B392&lt;'112'!$N$8,$M392='112'!$I$6)),"x",""))</f>
        <v/>
      </c>
      <c r="U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38" t="str">
        <f>IF(OR(TH!L392=TH!$V$7,M392=TH!$V$7),"x","")</f>
        <v/>
      </c>
      <c r="W392" s="38" t="str">
        <f>IF(AND(B392&gt;='IN-NX'!$P$3,B392&lt;='IN-NX'!$Q$3,'IN-NX'!$D$7=D392,OR(LEFT(L392,2)="15",AND(LEFT(M392,2)&lt;&gt;"15",LEFT(M392,2)&lt;&gt;"33"))),"x","")</f>
        <v/>
      </c>
      <c r="X392" s="38" t="str">
        <f>IF(AND(OR(LEFT(TH!L392,2)="15",LEFT(TH!M392,2)="15"),'152-CT'!$J$8=TH!F392),"x","")</f>
        <v/>
      </c>
      <c r="Y392" s="38" t="str">
        <f>IF(AND(OR(LEFT(TH!L392,2)="15",LEFT(TH!M392,2)="15"),TK!$E$7=TH!F392),"x","")</f>
        <v/>
      </c>
      <c r="Z392" s="38" t="str">
        <f>IF(AND(B392&lt;=NKC!$N$8,B392&gt;=NKC!$M$8),"x","")</f>
        <v/>
      </c>
      <c r="AA392" s="845"/>
      <c r="AB392" s="581"/>
    </row>
    <row r="393" spans="1:28" s="201" customFormat="1" ht="15.75" customHeight="1">
      <c r="A393" s="846" t="str">
        <f>IF(B393&lt;&gt;"",IF(AND(B393&gt;=_TM1,B393&lt;=_TM2,OR(TH!L393="1111",TH!M393="1111")),TH!D393,""),"")</f>
        <v/>
      </c>
      <c r="B393" s="36" t="str">
        <f t="shared" si="11"/>
        <v/>
      </c>
      <c r="C393" s="187"/>
      <c r="D393" s="187"/>
      <c r="E393" s="187"/>
      <c r="F393" s="185"/>
      <c r="G393" s="854"/>
      <c r="H393" s="189"/>
      <c r="I393" s="794"/>
      <c r="J393" s="249"/>
      <c r="K393" s="589"/>
      <c r="L393" s="590"/>
      <c r="M393" s="590"/>
      <c r="N393" s="38" t="str">
        <f>IF(AND('331-CT'!$E$7=TH!H393,OR(L393="331",M393="331")),"331",IF(AND(OR(L393="131",M393="131"),H393='131-CT'!$E$7),"131",""))</f>
        <v/>
      </c>
      <c r="O393" s="38" t="str">
        <f>IF(AND($B393&gt;='111'!$N$11,$B393&lt;='111'!$O$11,OR($L393=$O$7,$M393=$O$7)),"x","")</f>
        <v/>
      </c>
      <c r="P393" s="38" t="str">
        <f>IF(AND($L393=$O$7,$B393&lt;'111'!$N$11),"x","")</f>
        <v/>
      </c>
      <c r="Q393" s="38" t="str">
        <f>IF(AND($M393=$O$7,$B393&lt;'111'!$N$11),"x","")</f>
        <v/>
      </c>
      <c r="R393" s="38" t="str">
        <f>IF(ISERROR(FIND('112'!$M$9,G393,1)),"",IF((AND(FIND('112'!$M$9,G393,1)&gt;=1,$B393&gt;='112'!$N$8,$B393&lt;='112'!$O$8,OR($L393='112'!$I$6,$M393='112'!$I$6))),"x",""))</f>
        <v/>
      </c>
      <c r="S393" s="38" t="str">
        <f>IF(ISERROR(FIND('112'!$M$9,G393,1)),"",IF((AND(LEFT(G393,2)=LEFT('112'!$M$9,2),B393&lt;'112'!$N$8,$L393='112'!$I$6)),"x",""))</f>
        <v/>
      </c>
      <c r="T393" s="38" t="str">
        <f>IF(ISERROR(FIND('112'!$M$9,G393,1)),"",IF((AND(RIGHT(G393,2)=RIGHT('112'!$M$9,2),B393&lt;'112'!$N$8,$M393='112'!$I$6)),"x",""))</f>
        <v/>
      </c>
      <c r="U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38" t="str">
        <f>IF(OR(TH!L393=TH!$V$7,M393=TH!$V$7),"x","")</f>
        <v/>
      </c>
      <c r="W393" s="38" t="str">
        <f>IF(AND(B393&gt;='IN-NX'!$P$3,B393&lt;='IN-NX'!$Q$3,'IN-NX'!$D$7=D393,OR(LEFT(L393,2)="15",AND(LEFT(M393,2)&lt;&gt;"15",LEFT(M393,2)&lt;&gt;"33"))),"x","")</f>
        <v/>
      </c>
      <c r="X393" s="38" t="str">
        <f>IF(AND(OR(LEFT(TH!L393,2)="15",LEFT(TH!M393,2)="15"),'152-CT'!$J$8=TH!F393),"x","")</f>
        <v/>
      </c>
      <c r="Y393" s="38" t="str">
        <f>IF(AND(OR(LEFT(TH!L393,2)="15",LEFT(TH!M393,2)="15"),TK!$E$7=TH!F393),"x","")</f>
        <v/>
      </c>
      <c r="Z393" s="38" t="str">
        <f>IF(AND(B393&lt;=NKC!$N$8,B393&gt;=NKC!$M$8),"x","")</f>
        <v/>
      </c>
      <c r="AA393" s="845"/>
      <c r="AB393" s="581"/>
    </row>
    <row r="394" spans="1:28" s="201" customFormat="1" ht="15.75" customHeight="1">
      <c r="A394" s="846" t="str">
        <f>IF(B394&lt;&gt;"",IF(AND(B394&gt;=_TM1,B394&lt;=_TM2,OR(TH!L394="1111",TH!M394="1111")),TH!D394,""),"")</f>
        <v/>
      </c>
      <c r="B394" s="36" t="str">
        <f t="shared" si="11"/>
        <v/>
      </c>
      <c r="C394" s="187"/>
      <c r="D394" s="187"/>
      <c r="E394" s="187"/>
      <c r="F394" s="287"/>
      <c r="G394" s="854"/>
      <c r="H394" s="189"/>
      <c r="I394" s="249"/>
      <c r="J394" s="249"/>
      <c r="K394" s="589"/>
      <c r="L394" s="590"/>
      <c r="M394" s="590"/>
      <c r="N394" s="38" t="str">
        <f>IF(AND('331-CT'!$E$7=TH!H394,OR(L394="331",M394="331")),"331",IF(AND(OR(L394="131",M394="131"),H394='131-CT'!$E$7),"131",""))</f>
        <v/>
      </c>
      <c r="O394" s="38" t="str">
        <f>IF(AND($B394&gt;='111'!$N$11,$B394&lt;='111'!$O$11,OR($L394=$O$7,$M394=$O$7)),"x","")</f>
        <v/>
      </c>
      <c r="P394" s="38" t="str">
        <f>IF(AND($L394=$O$7,$B394&lt;'111'!$N$11),"x","")</f>
        <v/>
      </c>
      <c r="Q394" s="38" t="str">
        <f>IF(AND($M394=$O$7,$B394&lt;'111'!$N$11),"x","")</f>
        <v/>
      </c>
      <c r="R394" s="38" t="str">
        <f>IF(ISERROR(FIND('112'!$M$9,G394,1)),"",IF((AND(FIND('112'!$M$9,G394,1)&gt;=1,$B394&gt;='112'!$N$8,$B394&lt;='112'!$O$8,OR($L394='112'!$I$6,$M394='112'!$I$6))),"x",""))</f>
        <v/>
      </c>
      <c r="S394" s="38" t="str">
        <f>IF(ISERROR(FIND('112'!$M$9,G394,1)),"",IF((AND(LEFT(G394,2)=LEFT('112'!$M$9,2),B394&lt;'112'!$N$8,$L394='112'!$I$6)),"x",""))</f>
        <v/>
      </c>
      <c r="T394" s="38" t="str">
        <f>IF(ISERROR(FIND('112'!$M$9,G394,1)),"",IF((AND(RIGHT(G394,2)=RIGHT('112'!$M$9,2),B394&lt;'112'!$N$8,$M394='112'!$I$6)),"x",""))</f>
        <v/>
      </c>
      <c r="U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38" t="str">
        <f>IF(OR(TH!L394=TH!$V$7,M394=TH!$V$7),"x","")</f>
        <v/>
      </c>
      <c r="W394" s="38" t="str">
        <f>IF(AND(B394&gt;='IN-NX'!$P$3,B394&lt;='IN-NX'!$Q$3,'IN-NX'!$D$7=D394,OR(LEFT(L394,2)="15",AND(LEFT(M394,2)&lt;&gt;"15",LEFT(M394,2)&lt;&gt;"33"))),"x","")</f>
        <v/>
      </c>
      <c r="X394" s="38" t="str">
        <f>IF(AND(OR(LEFT(TH!L394,2)="15",LEFT(TH!M394,2)="15"),'152-CT'!$J$8=TH!F394),"x","")</f>
        <v/>
      </c>
      <c r="Y394" s="38" t="str">
        <f>IF(AND(OR(LEFT(TH!L394,2)="15",LEFT(TH!M394,2)="15"),TK!$E$7=TH!F394),"x","")</f>
        <v/>
      </c>
      <c r="Z394" s="38" t="str">
        <f>IF(AND(B394&lt;=NKC!$N$8,B394&gt;=NKC!$M$8),"x","")</f>
        <v/>
      </c>
      <c r="AA394" s="845"/>
      <c r="AB394" s="581"/>
    </row>
    <row r="395" spans="1:28" s="201" customFormat="1" ht="15.75" customHeight="1">
      <c r="A395" s="846" t="str">
        <f>IF(B395&lt;&gt;"",IF(AND(B395&gt;=_TM1,B395&lt;=_TM2,OR(TH!L395="1111",TH!M395="1111")),TH!D395,""),"")</f>
        <v/>
      </c>
      <c r="B395" s="36" t="str">
        <f t="shared" si="11"/>
        <v/>
      </c>
      <c r="C395" s="187"/>
      <c r="D395" s="187"/>
      <c r="E395" s="187"/>
      <c r="F395" s="287"/>
      <c r="G395" s="854"/>
      <c r="H395" s="189"/>
      <c r="I395" s="249"/>
      <c r="J395" s="249"/>
      <c r="K395" s="589"/>
      <c r="L395" s="590"/>
      <c r="M395" s="590"/>
      <c r="N395" s="38" t="str">
        <f>IF(AND('331-CT'!$E$7=TH!H395,OR(L395="331",M395="331")),"331",IF(AND(OR(L395="131",M395="131"),H395='131-CT'!$E$7),"131",""))</f>
        <v/>
      </c>
      <c r="O395" s="38" t="str">
        <f>IF(AND($B395&gt;='111'!$N$11,$B395&lt;='111'!$O$11,OR($L395=$O$7,$M395=$O$7)),"x","")</f>
        <v/>
      </c>
      <c r="P395" s="38" t="str">
        <f>IF(AND($L395=$O$7,$B395&lt;'111'!$N$11),"x","")</f>
        <v/>
      </c>
      <c r="Q395" s="38" t="str">
        <f>IF(AND($M395=$O$7,$B395&lt;'111'!$N$11),"x","")</f>
        <v/>
      </c>
      <c r="R395" s="38" t="str">
        <f>IF(ISERROR(FIND('112'!$M$9,G395,1)),"",IF((AND(FIND('112'!$M$9,G395,1)&gt;=1,$B395&gt;='112'!$N$8,$B395&lt;='112'!$O$8,OR($L395='112'!$I$6,$M395='112'!$I$6))),"x",""))</f>
        <v/>
      </c>
      <c r="S395" s="38" t="str">
        <f>IF(ISERROR(FIND('112'!$M$9,G395,1)),"",IF((AND(LEFT(G395,2)=LEFT('112'!$M$9,2),B395&lt;'112'!$N$8,$L395='112'!$I$6)),"x",""))</f>
        <v/>
      </c>
      <c r="T395" s="38" t="str">
        <f>IF(ISERROR(FIND('112'!$M$9,G395,1)),"",IF((AND(RIGHT(G395,2)=RIGHT('112'!$M$9,2),B395&lt;'112'!$N$8,$M395='112'!$I$6)),"x",""))</f>
        <v/>
      </c>
      <c r="U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38" t="str">
        <f>IF(OR(TH!L395=TH!$V$7,M395=TH!$V$7),"x","")</f>
        <v/>
      </c>
      <c r="W395" s="38" t="str">
        <f>IF(AND(B395&gt;='IN-NX'!$P$3,B395&lt;='IN-NX'!$Q$3,'IN-NX'!$D$7=D395,OR(LEFT(L395,2)="15",AND(LEFT(M395,2)&lt;&gt;"15",LEFT(M395,2)&lt;&gt;"33"))),"x","")</f>
        <v/>
      </c>
      <c r="X395" s="38" t="str">
        <f>IF(AND(OR(LEFT(TH!L395,2)="15",LEFT(TH!M395,2)="15"),'152-CT'!$J$8=TH!F395),"x","")</f>
        <v/>
      </c>
      <c r="Y395" s="38" t="str">
        <f>IF(AND(OR(LEFT(TH!L395,2)="15",LEFT(TH!M395,2)="15"),TK!$E$7=TH!F395),"x","")</f>
        <v/>
      </c>
      <c r="Z395" s="38" t="str">
        <f>IF(AND(B395&lt;=NKC!$N$8,B395&gt;=NKC!$M$8),"x","")</f>
        <v/>
      </c>
      <c r="AA395" s="845"/>
      <c r="AB395" s="581"/>
    </row>
    <row r="396" spans="1:28" s="201" customFormat="1" ht="15.75" customHeight="1">
      <c r="A396" s="846" t="str">
        <f>IF(B396&lt;&gt;"",IF(AND(B396&gt;=_TM1,B396&lt;=_TM2,OR(TH!L396="1111",TH!M396="1111")),TH!D396,""),"")</f>
        <v/>
      </c>
      <c r="B396" s="36" t="str">
        <f t="shared" si="11"/>
        <v/>
      </c>
      <c r="C396" s="187"/>
      <c r="D396" s="187"/>
      <c r="E396" s="187"/>
      <c r="F396" s="185"/>
      <c r="G396" s="854"/>
      <c r="H396" s="189"/>
      <c r="I396" s="249"/>
      <c r="J396" s="249"/>
      <c r="K396" s="589"/>
      <c r="L396" s="590"/>
      <c r="M396" s="590"/>
      <c r="N396" s="38" t="str">
        <f>IF(AND('331-CT'!$E$7=TH!H396,OR(L396="331",M396="331")),"331",IF(AND(OR(L396="131",M396="131"),H396='131-CT'!$E$7),"131",""))</f>
        <v/>
      </c>
      <c r="O396" s="38" t="str">
        <f>IF(AND($B396&gt;='111'!$N$11,$B396&lt;='111'!$O$11,OR($L396=$O$7,$M396=$O$7)),"x","")</f>
        <v/>
      </c>
      <c r="P396" s="38" t="str">
        <f>IF(AND($L396=$O$7,$B396&lt;'111'!$N$11),"x","")</f>
        <v/>
      </c>
      <c r="Q396" s="38" t="str">
        <f>IF(AND($M396=$O$7,$B396&lt;'111'!$N$11),"x","")</f>
        <v/>
      </c>
      <c r="R396" s="38" t="str">
        <f>IF(ISERROR(FIND('112'!$M$9,G396,1)),"",IF((AND(FIND('112'!$M$9,G396,1)&gt;=1,$B396&gt;='112'!$N$8,$B396&lt;='112'!$O$8,OR($L396='112'!$I$6,$M396='112'!$I$6))),"x",""))</f>
        <v/>
      </c>
      <c r="S396" s="38" t="str">
        <f>IF(ISERROR(FIND('112'!$M$9,G396,1)),"",IF((AND(LEFT(G396,2)=LEFT('112'!$M$9,2),B396&lt;'112'!$N$8,$L396='112'!$I$6)),"x",""))</f>
        <v/>
      </c>
      <c r="T396" s="38" t="str">
        <f>IF(ISERROR(FIND('112'!$M$9,G396,1)),"",IF((AND(RIGHT(G396,2)=RIGHT('112'!$M$9,2),B396&lt;'112'!$N$8,$M396='112'!$I$6)),"x",""))</f>
        <v/>
      </c>
      <c r="U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38" t="str">
        <f>IF(OR(TH!L396=TH!$V$7,M396=TH!$V$7),"x","")</f>
        <v/>
      </c>
      <c r="W396" s="38" t="str">
        <f>IF(AND(B396&gt;='IN-NX'!$P$3,B396&lt;='IN-NX'!$Q$3,'IN-NX'!$D$7=D396,OR(LEFT(L396,2)="15",AND(LEFT(M396,2)&lt;&gt;"15",LEFT(M396,2)&lt;&gt;"33"))),"x","")</f>
        <v/>
      </c>
      <c r="X396" s="38" t="str">
        <f>IF(AND(OR(LEFT(TH!L396,2)="15",LEFT(TH!M396,2)="15"),'152-CT'!$J$8=TH!F396),"x","")</f>
        <v/>
      </c>
      <c r="Y396" s="38" t="str">
        <f>IF(AND(OR(LEFT(TH!L396,2)="15",LEFT(TH!M396,2)="15"),TK!$E$7=TH!F396),"x","")</f>
        <v/>
      </c>
      <c r="Z396" s="38" t="str">
        <f>IF(AND(B396&lt;=NKC!$N$8,B396&gt;=NKC!$M$8),"x","")</f>
        <v/>
      </c>
      <c r="AA396" s="845"/>
      <c r="AB396" s="581"/>
    </row>
    <row r="397" spans="1:28" s="201" customFormat="1" ht="15.75" customHeight="1">
      <c r="A397" s="846" t="str">
        <f>IF(B397&lt;&gt;"",IF(AND(B397&gt;=_TM1,B397&lt;=_TM2,OR(TH!L397="1111",TH!M397="1111")),TH!D397,""),"")</f>
        <v/>
      </c>
      <c r="B397" s="36" t="str">
        <f t="shared" si="11"/>
        <v/>
      </c>
      <c r="C397" s="187"/>
      <c r="D397" s="187"/>
      <c r="E397" s="187"/>
      <c r="F397" s="188"/>
      <c r="G397" s="854"/>
      <c r="H397" s="189"/>
      <c r="I397" s="249"/>
      <c r="J397" s="249"/>
      <c r="K397" s="589"/>
      <c r="L397" s="590"/>
      <c r="M397" s="590"/>
      <c r="N397" s="38" t="str">
        <f>IF(AND('331-CT'!$E$7=TH!H397,OR(L397="331",M397="331")),"331",IF(AND(OR(L397="131",M397="131"),H397='131-CT'!$E$7),"131",""))</f>
        <v/>
      </c>
      <c r="O397" s="38" t="str">
        <f>IF(AND($B397&gt;='111'!$N$11,$B397&lt;='111'!$O$11,OR($L397=$O$7,$M397=$O$7)),"x","")</f>
        <v/>
      </c>
      <c r="P397" s="38" t="str">
        <f>IF(AND($L397=$O$7,$B397&lt;'111'!$N$11),"x","")</f>
        <v/>
      </c>
      <c r="Q397" s="38" t="str">
        <f>IF(AND($M397=$O$7,$B397&lt;'111'!$N$11),"x","")</f>
        <v/>
      </c>
      <c r="R397" s="38" t="str">
        <f>IF(ISERROR(FIND('112'!$M$9,G397,1)),"",IF((AND(FIND('112'!$M$9,G397,1)&gt;=1,$B397&gt;='112'!$N$8,$B397&lt;='112'!$O$8,OR($L397='112'!$I$6,$M397='112'!$I$6))),"x",""))</f>
        <v/>
      </c>
      <c r="S397" s="38" t="str">
        <f>IF(ISERROR(FIND('112'!$M$9,G397,1)),"",IF((AND(LEFT(G397,2)=LEFT('112'!$M$9,2),B397&lt;'112'!$N$8,$L397='112'!$I$6)),"x",""))</f>
        <v/>
      </c>
      <c r="T397" s="38" t="str">
        <f>IF(ISERROR(FIND('112'!$M$9,G397,1)),"",IF((AND(RIGHT(G397,2)=RIGHT('112'!$M$9,2),B397&lt;'112'!$N$8,$M397='112'!$I$6)),"x",""))</f>
        <v/>
      </c>
      <c r="U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38" t="str">
        <f>IF(OR(TH!L397=TH!$V$7,M397=TH!$V$7),"x","")</f>
        <v/>
      </c>
      <c r="W397" s="38" t="str">
        <f>IF(AND(B397&gt;='IN-NX'!$P$3,B397&lt;='IN-NX'!$Q$3,'IN-NX'!$D$7=D397,OR(LEFT(L397,2)="15",AND(LEFT(M397,2)&lt;&gt;"15",LEFT(M397,2)&lt;&gt;"33"))),"x","")</f>
        <v/>
      </c>
      <c r="X397" s="38" t="str">
        <f>IF(AND(OR(LEFT(TH!L397,2)="15",LEFT(TH!M397,2)="15"),'152-CT'!$J$8=TH!F397),"x","")</f>
        <v/>
      </c>
      <c r="Y397" s="38" t="str">
        <f>IF(AND(OR(LEFT(TH!L397,2)="15",LEFT(TH!M397,2)="15"),TK!$E$7=TH!F397),"x","")</f>
        <v/>
      </c>
      <c r="Z397" s="38" t="str">
        <f>IF(AND(B397&lt;=NKC!$N$8,B397&gt;=NKC!$M$8),"x","")</f>
        <v/>
      </c>
      <c r="AA397" s="845"/>
      <c r="AB397" s="581"/>
    </row>
    <row r="398" spans="1:28" s="201" customFormat="1" ht="15.75" customHeight="1">
      <c r="A398" s="846" t="str">
        <f>IF(B398&lt;&gt;"",IF(AND(B398&gt;=_TM1,B398&lt;=_TM2,OR(TH!L398="1111",TH!M398="1111")),TH!D398,""),"")</f>
        <v/>
      </c>
      <c r="B398" s="36" t="str">
        <f t="shared" si="11"/>
        <v/>
      </c>
      <c r="C398" s="187"/>
      <c r="D398" s="187"/>
      <c r="E398" s="187"/>
      <c r="F398" s="188"/>
      <c r="G398" s="854"/>
      <c r="H398" s="189"/>
      <c r="I398" s="249"/>
      <c r="J398" s="249"/>
      <c r="K398" s="589"/>
      <c r="L398" s="590"/>
      <c r="M398" s="590"/>
      <c r="N398" s="38" t="str">
        <f>IF(AND('331-CT'!$E$7=TH!H398,OR(L398="331",M398="331")),"331",IF(AND(OR(L398="131",M398="131"),H398='131-CT'!$E$7),"131",""))</f>
        <v/>
      </c>
      <c r="O398" s="38" t="str">
        <f>IF(AND($B398&gt;='111'!$N$11,$B398&lt;='111'!$O$11,OR($L398=$O$7,$M398=$O$7)),"x","")</f>
        <v/>
      </c>
      <c r="P398" s="38" t="str">
        <f>IF(AND($L398=$O$7,$B398&lt;'111'!$N$11),"x","")</f>
        <v/>
      </c>
      <c r="Q398" s="38" t="str">
        <f>IF(AND($M398=$O$7,$B398&lt;'111'!$N$11),"x","")</f>
        <v/>
      </c>
      <c r="R398" s="38" t="str">
        <f>IF(ISERROR(FIND('112'!$M$9,G398,1)),"",IF((AND(FIND('112'!$M$9,G398,1)&gt;=1,$B398&gt;='112'!$N$8,$B398&lt;='112'!$O$8,OR($L398='112'!$I$6,$M398='112'!$I$6))),"x",""))</f>
        <v/>
      </c>
      <c r="S398" s="38" t="str">
        <f>IF(ISERROR(FIND('112'!$M$9,G398,1)),"",IF((AND(LEFT(G398,2)=LEFT('112'!$M$9,2),B398&lt;'112'!$N$8,$L398='112'!$I$6)),"x",""))</f>
        <v/>
      </c>
      <c r="T398" s="38" t="str">
        <f>IF(ISERROR(FIND('112'!$M$9,G398,1)),"",IF((AND(RIGHT(G398,2)=RIGHT('112'!$M$9,2),B398&lt;'112'!$N$8,$M398='112'!$I$6)),"x",""))</f>
        <v/>
      </c>
      <c r="U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38" t="str">
        <f>IF(OR(TH!L398=TH!$V$7,M398=TH!$V$7),"x","")</f>
        <v/>
      </c>
      <c r="W398" s="38" t="str">
        <f>IF(AND(B398&gt;='IN-NX'!$P$3,B398&lt;='IN-NX'!$Q$3,'IN-NX'!$D$7=D398,OR(LEFT(L398,2)="15",AND(LEFT(M398,2)&lt;&gt;"15",LEFT(M398,2)&lt;&gt;"33"))),"x","")</f>
        <v/>
      </c>
      <c r="X398" s="38" t="str">
        <f>IF(AND(OR(LEFT(TH!L398,2)="15",LEFT(TH!M398,2)="15"),'152-CT'!$J$8=TH!F398),"x","")</f>
        <v/>
      </c>
      <c r="Y398" s="38" t="str">
        <f>IF(AND(OR(LEFT(TH!L398,2)="15",LEFT(TH!M398,2)="15"),TK!$E$7=TH!F398),"x","")</f>
        <v/>
      </c>
      <c r="Z398" s="38" t="str">
        <f>IF(AND(B398&lt;=NKC!$N$8,B398&gt;=NKC!$M$8),"x","")</f>
        <v/>
      </c>
      <c r="AA398" s="845"/>
      <c r="AB398" s="581"/>
    </row>
    <row r="399" spans="1:28" s="201" customFormat="1" ht="15.75" customHeight="1">
      <c r="A399" s="846" t="str">
        <f>IF(B399&lt;&gt;"",IF(AND(B399&gt;=_TM1,B399&lt;=_TM2,OR(TH!L399="1111",TH!M399="1111")),TH!D399,""),"")</f>
        <v/>
      </c>
      <c r="B399" s="36" t="str">
        <f t="shared" si="11"/>
        <v/>
      </c>
      <c r="C399" s="187"/>
      <c r="D399" s="187"/>
      <c r="E399" s="187"/>
      <c r="F399" s="188"/>
      <c r="G399" s="854"/>
      <c r="H399" s="189"/>
      <c r="I399" s="250"/>
      <c r="J399" s="250"/>
      <c r="K399" s="589"/>
      <c r="L399" s="590"/>
      <c r="M399" s="590"/>
      <c r="N399" s="38" t="str">
        <f>IF(AND('331-CT'!$E$7=TH!H399,OR(L399="331",M399="331")),"331",IF(AND(OR(L399="131",M399="131"),H399='131-CT'!$E$7),"131",""))</f>
        <v/>
      </c>
      <c r="O399" s="38" t="str">
        <f>IF(AND($B399&gt;='111'!$N$11,$B399&lt;='111'!$O$11,OR($L399=$O$7,$M399=$O$7)),"x","")</f>
        <v/>
      </c>
      <c r="P399" s="38" t="str">
        <f>IF(AND($L399=$O$7,$B399&lt;'111'!$N$11),"x","")</f>
        <v/>
      </c>
      <c r="Q399" s="38" t="str">
        <f>IF(AND($M399=$O$7,$B399&lt;'111'!$N$11),"x","")</f>
        <v/>
      </c>
      <c r="R399" s="38" t="str">
        <f>IF(ISERROR(FIND('112'!$M$9,G399,1)),"",IF((AND(FIND('112'!$M$9,G399,1)&gt;=1,$B399&gt;='112'!$N$8,$B399&lt;='112'!$O$8,OR($L399='112'!$I$6,$M399='112'!$I$6))),"x",""))</f>
        <v/>
      </c>
      <c r="S399" s="38" t="str">
        <f>IF(ISERROR(FIND('112'!$M$9,G399,1)),"",IF((AND(LEFT(G399,2)=LEFT('112'!$M$9,2),B399&lt;'112'!$N$8,$L399='112'!$I$6)),"x",""))</f>
        <v/>
      </c>
      <c r="T399" s="38" t="str">
        <f>IF(ISERROR(FIND('112'!$M$9,G399,1)),"",IF((AND(RIGHT(G399,2)=RIGHT('112'!$M$9,2),B399&lt;'112'!$N$8,$M399='112'!$I$6)),"x",""))</f>
        <v/>
      </c>
      <c r="U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38" t="str">
        <f>IF(OR(TH!L399=TH!$V$7,M399=TH!$V$7),"x","")</f>
        <v/>
      </c>
      <c r="W399" s="38" t="str">
        <f>IF(AND(B399&gt;='IN-NX'!$P$3,B399&lt;='IN-NX'!$Q$3,'IN-NX'!$D$7=D399,OR(LEFT(L399,2)="15",AND(LEFT(M399,2)&lt;&gt;"15",LEFT(M399,2)&lt;&gt;"33"))),"x","")</f>
        <v/>
      </c>
      <c r="X399" s="38" t="str">
        <f>IF(AND(OR(LEFT(TH!L399,2)="15",LEFT(TH!M399,2)="15"),'152-CT'!$J$8=TH!F399),"x","")</f>
        <v/>
      </c>
      <c r="Y399" s="38" t="str">
        <f>IF(AND(OR(LEFT(TH!L399,2)="15",LEFT(TH!M399,2)="15"),TK!$E$7=TH!F399),"x","")</f>
        <v/>
      </c>
      <c r="Z399" s="38" t="str">
        <f>IF(AND(B399&lt;=NKC!$N$8,B399&gt;=NKC!$M$8),"x","")</f>
        <v/>
      </c>
      <c r="AA399" s="845"/>
      <c r="AB399" s="581"/>
    </row>
    <row r="400" spans="1:28" s="201" customFormat="1" ht="15.75" customHeight="1">
      <c r="A400" s="846" t="str">
        <f>IF(B400&lt;&gt;"",IF(AND(B400&gt;=_TM1,B400&lt;=_TM2,OR(TH!L400="1111",TH!M400="1111")),TH!D400,""),"")</f>
        <v/>
      </c>
      <c r="B400" s="36" t="str">
        <f t="shared" si="11"/>
        <v/>
      </c>
      <c r="C400" s="187"/>
      <c r="D400" s="187"/>
      <c r="E400" s="187"/>
      <c r="F400" s="39"/>
      <c r="G400" s="854"/>
      <c r="H400" s="189"/>
      <c r="I400" s="249"/>
      <c r="J400" s="249"/>
      <c r="K400" s="589"/>
      <c r="L400" s="590"/>
      <c r="M400" s="590"/>
      <c r="N400" s="38" t="str">
        <f>IF(AND('331-CT'!$E$7=TH!H400,OR(L400="331",M400="331")),"331",IF(AND(OR(L400="131",M400="131"),H400='131-CT'!$E$7),"131",""))</f>
        <v/>
      </c>
      <c r="O400" s="38" t="str">
        <f>IF(AND($B400&gt;='111'!$N$11,$B400&lt;='111'!$O$11,OR($L400=$O$7,$M400=$O$7)),"x","")</f>
        <v/>
      </c>
      <c r="P400" s="38" t="str">
        <f>IF(AND($L400=$O$7,$B400&lt;'111'!$N$11),"x","")</f>
        <v/>
      </c>
      <c r="Q400" s="38" t="str">
        <f>IF(AND($M400=$O$7,$B400&lt;'111'!$N$11),"x","")</f>
        <v/>
      </c>
      <c r="R400" s="38" t="str">
        <f>IF(ISERROR(FIND('112'!$M$9,G400,1)),"",IF((AND(FIND('112'!$M$9,G400,1)&gt;=1,$B400&gt;='112'!$N$8,$B400&lt;='112'!$O$8,OR($L400='112'!$I$6,$M400='112'!$I$6))),"x",""))</f>
        <v/>
      </c>
      <c r="S400" s="38" t="str">
        <f>IF(ISERROR(FIND('112'!$M$9,G400,1)),"",IF((AND(LEFT(G400,2)=LEFT('112'!$M$9,2),B400&lt;'112'!$N$8,$L400='112'!$I$6)),"x",""))</f>
        <v/>
      </c>
      <c r="T400" s="38" t="str">
        <f>IF(ISERROR(FIND('112'!$M$9,G400,1)),"",IF((AND(RIGHT(G400,2)=RIGHT('112'!$M$9,2),B400&lt;'112'!$N$8,$M400='112'!$I$6)),"x",""))</f>
        <v/>
      </c>
      <c r="U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38" t="str">
        <f>IF(OR(TH!L400=TH!$V$7,M400=TH!$V$7),"x","")</f>
        <v/>
      </c>
      <c r="W400" s="38" t="str">
        <f>IF(AND(B400&gt;='IN-NX'!$P$3,B400&lt;='IN-NX'!$Q$3,'IN-NX'!$D$7=D400,OR(LEFT(L400,2)="15",AND(LEFT(M400,2)&lt;&gt;"15",LEFT(M400,2)&lt;&gt;"33"))),"x","")</f>
        <v/>
      </c>
      <c r="X400" s="38" t="str">
        <f>IF(AND(OR(LEFT(TH!L400,2)="15",LEFT(TH!M400,2)="15"),'152-CT'!$J$8=TH!F400),"x","")</f>
        <v/>
      </c>
      <c r="Y400" s="38" t="str">
        <f>IF(AND(OR(LEFT(TH!L400,2)="15",LEFT(TH!M400,2)="15"),TK!$E$7=TH!F400),"x","")</f>
        <v/>
      </c>
      <c r="Z400" s="38" t="str">
        <f>IF(AND(B400&lt;=NKC!$N$8,B400&gt;=NKC!$M$8),"x","")</f>
        <v/>
      </c>
      <c r="AA400" s="845"/>
      <c r="AB400" s="581"/>
    </row>
    <row r="401" spans="1:28" s="201" customFormat="1" ht="15.75" customHeight="1">
      <c r="A401" s="846" t="str">
        <f>IF(B401&lt;&gt;"",IF(AND(B401&gt;=_TM1,B401&lt;=_TM2,OR(TH!L401="1111",TH!M401="1111")),TH!D401,""),"")</f>
        <v/>
      </c>
      <c r="B401" s="36" t="str">
        <f t="shared" si="11"/>
        <v/>
      </c>
      <c r="C401" s="187"/>
      <c r="D401" s="187"/>
      <c r="E401" s="187"/>
      <c r="F401" s="39"/>
      <c r="G401" s="854"/>
      <c r="H401" s="189"/>
      <c r="I401" s="249"/>
      <c r="J401" s="249"/>
      <c r="K401" s="589"/>
      <c r="L401" s="590"/>
      <c r="M401" s="590"/>
      <c r="N401" s="38" t="str">
        <f>IF(AND('331-CT'!$E$7=TH!H401,OR(L401="331",M401="331")),"331",IF(AND(OR(L401="131",M401="131"),H401='131-CT'!$E$7),"131",""))</f>
        <v/>
      </c>
      <c r="O401" s="38" t="str">
        <f>IF(AND($B401&gt;='111'!$N$11,$B401&lt;='111'!$O$11,OR($L401=$O$7,$M401=$O$7)),"x","")</f>
        <v/>
      </c>
      <c r="P401" s="38" t="str">
        <f>IF(AND($L401=$O$7,$B401&lt;'111'!$N$11),"x","")</f>
        <v/>
      </c>
      <c r="Q401" s="38" t="str">
        <f>IF(AND($M401=$O$7,$B401&lt;'111'!$N$11),"x","")</f>
        <v/>
      </c>
      <c r="R401" s="38" t="str">
        <f>IF(ISERROR(FIND('112'!$M$9,G401,1)),"",IF((AND(FIND('112'!$M$9,G401,1)&gt;=1,$B401&gt;='112'!$N$8,$B401&lt;='112'!$O$8,OR($L401='112'!$I$6,$M401='112'!$I$6))),"x",""))</f>
        <v/>
      </c>
      <c r="S401" s="38" t="str">
        <f>IF(ISERROR(FIND('112'!$M$9,G401,1)),"",IF((AND(LEFT(G401,2)=LEFT('112'!$M$9,2),B401&lt;'112'!$N$8,$L401='112'!$I$6)),"x",""))</f>
        <v/>
      </c>
      <c r="T401" s="38" t="str">
        <f>IF(ISERROR(FIND('112'!$M$9,G401,1)),"",IF((AND(RIGHT(G401,2)=RIGHT('112'!$M$9,2),B401&lt;'112'!$N$8,$M401='112'!$I$6)),"x",""))</f>
        <v/>
      </c>
      <c r="U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38" t="str">
        <f>IF(OR(TH!L401=TH!$V$7,M401=TH!$V$7),"x","")</f>
        <v/>
      </c>
      <c r="W401" s="38" t="str">
        <f>IF(AND(B401&gt;='IN-NX'!$P$3,B401&lt;='IN-NX'!$Q$3,'IN-NX'!$D$7=D401,OR(LEFT(L401,2)="15",AND(LEFT(M401,2)&lt;&gt;"15",LEFT(M401,2)&lt;&gt;"33"))),"x","")</f>
        <v/>
      </c>
      <c r="X401" s="38" t="str">
        <f>IF(AND(OR(LEFT(TH!L401,2)="15",LEFT(TH!M401,2)="15"),'152-CT'!$J$8=TH!F401),"x","")</f>
        <v/>
      </c>
      <c r="Y401" s="38" t="str">
        <f>IF(AND(OR(LEFT(TH!L401,2)="15",LEFT(TH!M401,2)="15"),TK!$E$7=TH!F401),"x","")</f>
        <v/>
      </c>
      <c r="Z401" s="38" t="str">
        <f>IF(AND(B401&lt;=NKC!$N$8,B401&gt;=NKC!$M$8),"x","")</f>
        <v/>
      </c>
      <c r="AA401" s="845"/>
      <c r="AB401" s="581"/>
    </row>
    <row r="402" spans="1:28" s="201" customFormat="1" ht="15.75" customHeight="1">
      <c r="A402" s="846" t="str">
        <f>IF(B402&lt;&gt;"",IF(AND(B402&gt;=_TM1,B402&lt;=_TM2,OR(TH!L402="1111",TH!M402="1111")),TH!D402,""),"")</f>
        <v/>
      </c>
      <c r="B402" s="36" t="str">
        <f t="shared" si="11"/>
        <v/>
      </c>
      <c r="C402" s="187"/>
      <c r="D402" s="187"/>
      <c r="E402" s="187"/>
      <c r="F402" s="188"/>
      <c r="G402" s="854"/>
      <c r="H402" s="189"/>
      <c r="I402" s="249"/>
      <c r="J402" s="249"/>
      <c r="K402" s="589"/>
      <c r="L402" s="590"/>
      <c r="M402" s="590"/>
      <c r="N402" s="38" t="str">
        <f>IF(AND('331-CT'!$E$7=TH!H402,OR(L402="331",M402="331")),"331",IF(AND(OR(L402="131",M402="131"),H402='131-CT'!$E$7),"131",""))</f>
        <v/>
      </c>
      <c r="O402" s="38" t="str">
        <f>IF(AND($B402&gt;='111'!$N$11,$B402&lt;='111'!$O$11,OR($L402=$O$7,$M402=$O$7)),"x","")</f>
        <v/>
      </c>
      <c r="P402" s="38" t="str">
        <f>IF(AND($L402=$O$7,$B402&lt;'111'!$N$11),"x","")</f>
        <v/>
      </c>
      <c r="Q402" s="38" t="str">
        <f>IF(AND($M402=$O$7,$B402&lt;'111'!$N$11),"x","")</f>
        <v/>
      </c>
      <c r="R402" s="38" t="str">
        <f>IF(ISERROR(FIND('112'!$M$9,G402,1)),"",IF((AND(FIND('112'!$M$9,G402,1)&gt;=1,$B402&gt;='112'!$N$8,$B402&lt;='112'!$O$8,OR($L402='112'!$I$6,$M402='112'!$I$6))),"x",""))</f>
        <v/>
      </c>
      <c r="S402" s="38" t="str">
        <f>IF(ISERROR(FIND('112'!$M$9,G402,1)),"",IF((AND(LEFT(G402,2)=LEFT('112'!$M$9,2),B402&lt;'112'!$N$8,$L402='112'!$I$6)),"x",""))</f>
        <v/>
      </c>
      <c r="T402" s="38" t="str">
        <f>IF(ISERROR(FIND('112'!$M$9,G402,1)),"",IF((AND(RIGHT(G402,2)=RIGHT('112'!$M$9,2),B402&lt;'112'!$N$8,$M402='112'!$I$6)),"x",""))</f>
        <v/>
      </c>
      <c r="U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38" t="str">
        <f>IF(OR(TH!L402=TH!$V$7,M402=TH!$V$7),"x","")</f>
        <v/>
      </c>
      <c r="W402" s="38" t="str">
        <f>IF(AND(B402&gt;='IN-NX'!$P$3,B402&lt;='IN-NX'!$Q$3,'IN-NX'!$D$7=D402,OR(LEFT(L402,2)="15",AND(LEFT(M402,2)&lt;&gt;"15",LEFT(M402,2)&lt;&gt;"33"))),"x","")</f>
        <v/>
      </c>
      <c r="X402" s="38" t="str">
        <f>IF(AND(OR(LEFT(TH!L402,2)="15",LEFT(TH!M402,2)="15"),'152-CT'!$J$8=TH!F402),"x","")</f>
        <v/>
      </c>
      <c r="Y402" s="38" t="str">
        <f>IF(AND(OR(LEFT(TH!L402,2)="15",LEFT(TH!M402,2)="15"),TK!$E$7=TH!F402),"x","")</f>
        <v/>
      </c>
      <c r="Z402" s="38" t="str">
        <f>IF(AND(B402&lt;=NKC!$N$8,B402&gt;=NKC!$M$8),"x","")</f>
        <v/>
      </c>
      <c r="AA402" s="845"/>
      <c r="AB402" s="581"/>
    </row>
    <row r="403" spans="1:28" s="201" customFormat="1" ht="15.75" customHeight="1">
      <c r="A403" s="846" t="str">
        <f>IF(B403&lt;&gt;"",IF(AND(B403&gt;=_TM1,B403&lt;=_TM2,OR(TH!L403="1111",TH!M403="1111")),TH!D403,""),"")</f>
        <v/>
      </c>
      <c r="B403" s="36" t="str">
        <f t="shared" si="11"/>
        <v/>
      </c>
      <c r="C403" s="187"/>
      <c r="D403" s="187"/>
      <c r="E403" s="187"/>
      <c r="F403" s="188"/>
      <c r="G403" s="854"/>
      <c r="H403" s="189"/>
      <c r="I403" s="249"/>
      <c r="J403" s="249"/>
      <c r="K403" s="589"/>
      <c r="L403" s="590"/>
      <c r="M403" s="590"/>
      <c r="N403" s="38" t="str">
        <f>IF(AND('331-CT'!$E$7=TH!H403,OR(L403="331",M403="331")),"331",IF(AND(OR(L403="131",M403="131"),H403='131-CT'!$E$7),"131",""))</f>
        <v/>
      </c>
      <c r="O403" s="38" t="str">
        <f>IF(AND($B403&gt;='111'!$N$11,$B403&lt;='111'!$O$11,OR($L403=$O$7,$M403=$O$7)),"x","")</f>
        <v/>
      </c>
      <c r="P403" s="38" t="str">
        <f>IF(AND($L403=$O$7,$B403&lt;'111'!$N$11),"x","")</f>
        <v/>
      </c>
      <c r="Q403" s="38" t="str">
        <f>IF(AND($M403=$O$7,$B403&lt;'111'!$N$11),"x","")</f>
        <v/>
      </c>
      <c r="R403" s="38" t="str">
        <f>IF(ISERROR(FIND('112'!$M$9,G403,1)),"",IF((AND(FIND('112'!$M$9,G403,1)&gt;=1,$B403&gt;='112'!$N$8,$B403&lt;='112'!$O$8,OR($L403='112'!$I$6,$M403='112'!$I$6))),"x",""))</f>
        <v/>
      </c>
      <c r="S403" s="38" t="str">
        <f>IF(ISERROR(FIND('112'!$M$9,G403,1)),"",IF((AND(LEFT(G403,2)=LEFT('112'!$M$9,2),B403&lt;'112'!$N$8,$L403='112'!$I$6)),"x",""))</f>
        <v/>
      </c>
      <c r="T403" s="38" t="str">
        <f>IF(ISERROR(FIND('112'!$M$9,G403,1)),"",IF((AND(RIGHT(G403,2)=RIGHT('112'!$M$9,2),B403&lt;'112'!$N$8,$M403='112'!$I$6)),"x",""))</f>
        <v/>
      </c>
      <c r="U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38" t="str">
        <f>IF(OR(TH!L403=TH!$V$7,M403=TH!$V$7),"x","")</f>
        <v/>
      </c>
      <c r="W403" s="38" t="str">
        <f>IF(AND(B403&gt;='IN-NX'!$P$3,B403&lt;='IN-NX'!$Q$3,'IN-NX'!$D$7=D403,OR(LEFT(L403,2)="15",AND(LEFT(M403,2)&lt;&gt;"15",LEFT(M403,2)&lt;&gt;"33"))),"x","")</f>
        <v/>
      </c>
      <c r="X403" s="38" t="str">
        <f>IF(AND(OR(LEFT(TH!L403,2)="15",LEFT(TH!M403,2)="15"),'152-CT'!$J$8=TH!F403),"x","")</f>
        <v/>
      </c>
      <c r="Y403" s="38" t="str">
        <f>IF(AND(OR(LEFT(TH!L403,2)="15",LEFT(TH!M403,2)="15"),TK!$E$7=TH!F403),"x","")</f>
        <v/>
      </c>
      <c r="Z403" s="38" t="str">
        <f>IF(AND(B403&lt;=NKC!$N$8,B403&gt;=NKC!$M$8),"x","")</f>
        <v/>
      </c>
      <c r="AA403" s="845"/>
      <c r="AB403" s="581"/>
    </row>
    <row r="404" spans="1:28" s="201" customFormat="1" ht="15.75" customHeight="1">
      <c r="A404" s="846" t="str">
        <f>IF(B404&lt;&gt;"",IF(AND(B404&gt;=_TM1,B404&lt;=_TM2,OR(TH!L404="1111",TH!M404="1111")),TH!D404,""),"")</f>
        <v/>
      </c>
      <c r="B404" s="36" t="str">
        <f t="shared" si="11"/>
        <v/>
      </c>
      <c r="C404" s="187"/>
      <c r="D404" s="187"/>
      <c r="E404" s="187"/>
      <c r="F404" s="188"/>
      <c r="G404" s="854"/>
      <c r="H404" s="189"/>
      <c r="I404" s="249"/>
      <c r="J404" s="249"/>
      <c r="K404" s="589"/>
      <c r="L404" s="590"/>
      <c r="M404" s="590"/>
      <c r="N404" s="38" t="str">
        <f>IF(AND('331-CT'!$E$7=TH!H404,OR(L404="331",M404="331")),"331",IF(AND(OR(L404="131",M404="131"),H404='131-CT'!$E$7),"131",""))</f>
        <v/>
      </c>
      <c r="O404" s="38" t="str">
        <f>IF(AND($B404&gt;='111'!$N$11,$B404&lt;='111'!$O$11,OR($L404=$O$7,$M404=$O$7)),"x","")</f>
        <v/>
      </c>
      <c r="P404" s="38" t="str">
        <f>IF(AND($L404=$O$7,$B404&lt;'111'!$N$11),"x","")</f>
        <v/>
      </c>
      <c r="Q404" s="38" t="str">
        <f>IF(AND($M404=$O$7,$B404&lt;'111'!$N$11),"x","")</f>
        <v/>
      </c>
      <c r="R404" s="38" t="str">
        <f>IF(ISERROR(FIND('112'!$M$9,G404,1)),"",IF((AND(FIND('112'!$M$9,G404,1)&gt;=1,$B404&gt;='112'!$N$8,$B404&lt;='112'!$O$8,OR($L404='112'!$I$6,$M404='112'!$I$6))),"x",""))</f>
        <v/>
      </c>
      <c r="S404" s="38" t="str">
        <f>IF(ISERROR(FIND('112'!$M$9,G404,1)),"",IF((AND(LEFT(G404,2)=LEFT('112'!$M$9,2),B404&lt;'112'!$N$8,$L404='112'!$I$6)),"x",""))</f>
        <v/>
      </c>
      <c r="T404" s="38" t="str">
        <f>IF(ISERROR(FIND('112'!$M$9,G404,1)),"",IF((AND(RIGHT(G404,2)=RIGHT('112'!$M$9,2),B404&lt;'112'!$N$8,$M404='112'!$I$6)),"x",""))</f>
        <v/>
      </c>
      <c r="U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38" t="str">
        <f>IF(OR(TH!L404=TH!$V$7,M404=TH!$V$7),"x","")</f>
        <v/>
      </c>
      <c r="W404" s="38" t="str">
        <f>IF(AND(B404&gt;='IN-NX'!$P$3,B404&lt;='IN-NX'!$Q$3,'IN-NX'!$D$7=D404,OR(LEFT(L404,2)="15",AND(LEFT(M404,2)&lt;&gt;"15",LEFT(M404,2)&lt;&gt;"33"))),"x","")</f>
        <v/>
      </c>
      <c r="X404" s="38" t="str">
        <f>IF(AND(OR(LEFT(TH!L404,2)="15",LEFT(TH!M404,2)="15"),'152-CT'!$J$8=TH!F404),"x","")</f>
        <v/>
      </c>
      <c r="Y404" s="38" t="str">
        <f>IF(AND(OR(LEFT(TH!L404,2)="15",LEFT(TH!M404,2)="15"),TK!$E$7=TH!F404),"x","")</f>
        <v/>
      </c>
      <c r="Z404" s="38" t="str">
        <f>IF(AND(B404&lt;=NKC!$N$8,B404&gt;=NKC!$M$8),"x","")</f>
        <v/>
      </c>
      <c r="AA404" s="845"/>
      <c r="AB404" s="581"/>
    </row>
    <row r="405" spans="1:28" s="201" customFormat="1" ht="15.75" customHeight="1">
      <c r="A405" s="846" t="str">
        <f>IF(B405&lt;&gt;"",IF(AND(B405&gt;=_TM1,B405&lt;=_TM2,OR(TH!L405="1111",TH!M405="1111")),TH!D405,""),"")</f>
        <v/>
      </c>
      <c r="B405" s="36" t="str">
        <f t="shared" si="11"/>
        <v/>
      </c>
      <c r="C405" s="187"/>
      <c r="D405" s="187"/>
      <c r="E405" s="187"/>
      <c r="F405" s="188"/>
      <c r="G405" s="854"/>
      <c r="H405" s="189"/>
      <c r="I405" s="249"/>
      <c r="J405" s="249"/>
      <c r="K405" s="589"/>
      <c r="L405" s="590"/>
      <c r="M405" s="590"/>
      <c r="N405" s="38" t="str">
        <f>IF(AND('331-CT'!$E$7=TH!H405,OR(L405="331",M405="331")),"331",IF(AND(OR(L405="131",M405="131"),H405='131-CT'!$E$7),"131",""))</f>
        <v/>
      </c>
      <c r="O405" s="38" t="str">
        <f>IF(AND($B405&gt;='111'!$N$11,$B405&lt;='111'!$O$11,OR($L405=$O$7,$M405=$O$7)),"x","")</f>
        <v/>
      </c>
      <c r="P405" s="38" t="str">
        <f>IF(AND($L405=$O$7,$B405&lt;'111'!$N$11),"x","")</f>
        <v/>
      </c>
      <c r="Q405" s="38" t="str">
        <f>IF(AND($M405=$O$7,$B405&lt;'111'!$N$11),"x","")</f>
        <v/>
      </c>
      <c r="R405" s="38" t="str">
        <f>IF(ISERROR(FIND('112'!$M$9,G405,1)),"",IF((AND(FIND('112'!$M$9,G405,1)&gt;=1,$B405&gt;='112'!$N$8,$B405&lt;='112'!$O$8,OR($L405='112'!$I$6,$M405='112'!$I$6))),"x",""))</f>
        <v/>
      </c>
      <c r="S405" s="38" t="str">
        <f>IF(ISERROR(FIND('112'!$M$9,G405,1)),"",IF((AND(LEFT(G405,2)=LEFT('112'!$M$9,2),B405&lt;'112'!$N$8,$L405='112'!$I$6)),"x",""))</f>
        <v/>
      </c>
      <c r="T405" s="38" t="str">
        <f>IF(ISERROR(FIND('112'!$M$9,G405,1)),"",IF((AND(RIGHT(G405,2)=RIGHT('112'!$M$9,2),B405&lt;'112'!$N$8,$M405='112'!$I$6)),"x",""))</f>
        <v/>
      </c>
      <c r="U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38" t="str">
        <f>IF(OR(TH!L405=TH!$V$7,M405=TH!$V$7),"x","")</f>
        <v/>
      </c>
      <c r="W405" s="38" t="str">
        <f>IF(AND(B405&gt;='IN-NX'!$P$3,B405&lt;='IN-NX'!$Q$3,'IN-NX'!$D$7=D405,OR(LEFT(L405,2)="15",AND(LEFT(M405,2)&lt;&gt;"15",LEFT(M405,2)&lt;&gt;"33"))),"x","")</f>
        <v/>
      </c>
      <c r="X405" s="38" t="str">
        <f>IF(AND(OR(LEFT(TH!L405,2)="15",LEFT(TH!M405,2)="15"),'152-CT'!$J$8=TH!F405),"x","")</f>
        <v/>
      </c>
      <c r="Y405" s="38" t="str">
        <f>IF(AND(OR(LEFT(TH!L405,2)="15",LEFT(TH!M405,2)="15"),TK!$E$7=TH!F405),"x","")</f>
        <v/>
      </c>
      <c r="Z405" s="38" t="str">
        <f>IF(AND(B405&lt;=NKC!$N$8,B405&gt;=NKC!$M$8),"x","")</f>
        <v/>
      </c>
      <c r="AA405" s="845"/>
      <c r="AB405" s="581"/>
    </row>
    <row r="406" spans="1:28" s="201" customFormat="1" ht="15.75" customHeight="1">
      <c r="A406" s="846" t="str">
        <f>IF(B406&lt;&gt;"",IF(AND(B406&gt;=_TM1,B406&lt;=_TM2,OR(TH!L406="1111",TH!M406="1111")),TH!D406,""),"")</f>
        <v/>
      </c>
      <c r="B406" s="36" t="str">
        <f t="shared" si="11"/>
        <v/>
      </c>
      <c r="C406" s="187"/>
      <c r="D406" s="187"/>
      <c r="E406" s="187"/>
      <c r="F406" s="188"/>
      <c r="G406" s="854"/>
      <c r="H406" s="189"/>
      <c r="I406" s="249"/>
      <c r="J406" s="249"/>
      <c r="K406" s="589"/>
      <c r="L406" s="590"/>
      <c r="M406" s="590"/>
      <c r="N406" s="38" t="str">
        <f>IF(AND('331-CT'!$E$7=TH!H406,OR(L406="331",M406="331")),"331",IF(AND(OR(L406="131",M406="131"),H406='131-CT'!$E$7),"131",""))</f>
        <v/>
      </c>
      <c r="O406" s="38" t="str">
        <f>IF(AND($B406&gt;='111'!$N$11,$B406&lt;='111'!$O$11,OR($L406=$O$7,$M406=$O$7)),"x","")</f>
        <v/>
      </c>
      <c r="P406" s="38" t="str">
        <f>IF(AND($L406=$O$7,$B406&lt;'111'!$N$11),"x","")</f>
        <v/>
      </c>
      <c r="Q406" s="38" t="str">
        <f>IF(AND($M406=$O$7,$B406&lt;'111'!$N$11),"x","")</f>
        <v/>
      </c>
      <c r="R406" s="38" t="str">
        <f>IF(ISERROR(FIND('112'!$M$9,G406,1)),"",IF((AND(FIND('112'!$M$9,G406,1)&gt;=1,$B406&gt;='112'!$N$8,$B406&lt;='112'!$O$8,OR($L406='112'!$I$6,$M406='112'!$I$6))),"x",""))</f>
        <v/>
      </c>
      <c r="S406" s="38" t="str">
        <f>IF(ISERROR(FIND('112'!$M$9,G406,1)),"",IF((AND(LEFT(G406,2)=LEFT('112'!$M$9,2),B406&lt;'112'!$N$8,$L406='112'!$I$6)),"x",""))</f>
        <v/>
      </c>
      <c r="T406" s="38" t="str">
        <f>IF(ISERROR(FIND('112'!$M$9,G406,1)),"",IF((AND(RIGHT(G406,2)=RIGHT('112'!$M$9,2),B406&lt;'112'!$N$8,$M406='112'!$I$6)),"x",""))</f>
        <v/>
      </c>
      <c r="U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38" t="str">
        <f>IF(OR(TH!L406=TH!$V$7,M406=TH!$V$7),"x","")</f>
        <v/>
      </c>
      <c r="W406" s="38" t="str">
        <f>IF(AND(B406&gt;='IN-NX'!$P$3,B406&lt;='IN-NX'!$Q$3,'IN-NX'!$D$7=D406,OR(LEFT(L406,2)="15",AND(LEFT(M406,2)&lt;&gt;"15",LEFT(M406,2)&lt;&gt;"33"))),"x","")</f>
        <v/>
      </c>
      <c r="X406" s="38" t="str">
        <f>IF(AND(OR(LEFT(TH!L406,2)="15",LEFT(TH!M406,2)="15"),'152-CT'!$J$8=TH!F406),"x","")</f>
        <v/>
      </c>
      <c r="Y406" s="38" t="str">
        <f>IF(AND(OR(LEFT(TH!L406,2)="15",LEFT(TH!M406,2)="15"),TK!$E$7=TH!F406),"x","")</f>
        <v/>
      </c>
      <c r="Z406" s="38" t="str">
        <f>IF(AND(B406&lt;=NKC!$N$8,B406&gt;=NKC!$M$8),"x","")</f>
        <v/>
      </c>
      <c r="AA406" s="845"/>
      <c r="AB406" s="581"/>
    </row>
    <row r="407" spans="1:28" s="201" customFormat="1" ht="15.75" customHeight="1">
      <c r="A407" s="846" t="str">
        <f>IF(B407&lt;&gt;"",IF(AND(B407&gt;=_TM1,B407&lt;=_TM2,OR(TH!L407="1111",TH!M407="1111")),TH!D407,""),"")</f>
        <v/>
      </c>
      <c r="B407" s="36" t="str">
        <f t="shared" si="11"/>
        <v/>
      </c>
      <c r="C407" s="187"/>
      <c r="D407" s="187"/>
      <c r="E407" s="187"/>
      <c r="F407" s="188"/>
      <c r="G407" s="854"/>
      <c r="H407" s="189"/>
      <c r="I407" s="249"/>
      <c r="J407" s="249"/>
      <c r="K407" s="589"/>
      <c r="L407" s="590"/>
      <c r="M407" s="590"/>
      <c r="N407" s="38" t="str">
        <f>IF(AND('331-CT'!$E$7=TH!H407,OR(L407="331",M407="331")),"331",IF(AND(OR(L407="131",M407="131"),H407='131-CT'!$E$7),"131",""))</f>
        <v/>
      </c>
      <c r="O407" s="38" t="str">
        <f>IF(AND($B407&gt;='111'!$N$11,$B407&lt;='111'!$O$11,OR($L407=$O$7,$M407=$O$7)),"x","")</f>
        <v/>
      </c>
      <c r="P407" s="38" t="str">
        <f>IF(AND($L407=$O$7,$B407&lt;'111'!$N$11),"x","")</f>
        <v/>
      </c>
      <c r="Q407" s="38" t="str">
        <f>IF(AND($M407=$O$7,$B407&lt;'111'!$N$11),"x","")</f>
        <v/>
      </c>
      <c r="R407" s="38" t="str">
        <f>IF(ISERROR(FIND('112'!$M$9,G407,1)),"",IF((AND(FIND('112'!$M$9,G407,1)&gt;=1,$B407&gt;='112'!$N$8,$B407&lt;='112'!$O$8,OR($L407='112'!$I$6,$M407='112'!$I$6))),"x",""))</f>
        <v/>
      </c>
      <c r="S407" s="38" t="str">
        <f>IF(ISERROR(FIND('112'!$M$9,G407,1)),"",IF((AND(LEFT(G407,2)=LEFT('112'!$M$9,2),B407&lt;'112'!$N$8,$L407='112'!$I$6)),"x",""))</f>
        <v/>
      </c>
      <c r="T407" s="38" t="str">
        <f>IF(ISERROR(FIND('112'!$M$9,G407,1)),"",IF((AND(RIGHT(G407,2)=RIGHT('112'!$M$9,2),B407&lt;'112'!$N$8,$M407='112'!$I$6)),"x",""))</f>
        <v/>
      </c>
      <c r="U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38" t="str">
        <f>IF(OR(TH!L407=TH!$V$7,M407=TH!$V$7),"x","")</f>
        <v/>
      </c>
      <c r="W407" s="38" t="str">
        <f>IF(AND(B407&gt;='IN-NX'!$P$3,B407&lt;='IN-NX'!$Q$3,'IN-NX'!$D$7=D407,OR(LEFT(L407,2)="15",AND(LEFT(M407,2)&lt;&gt;"15",LEFT(M407,2)&lt;&gt;"33"))),"x","")</f>
        <v/>
      </c>
      <c r="X407" s="38" t="str">
        <f>IF(AND(OR(LEFT(TH!L407,2)="15",LEFT(TH!M407,2)="15"),'152-CT'!$J$8=TH!F407),"x","")</f>
        <v/>
      </c>
      <c r="Y407" s="38" t="str">
        <f>IF(AND(OR(LEFT(TH!L407,2)="15",LEFT(TH!M407,2)="15"),TK!$E$7=TH!F407),"x","")</f>
        <v/>
      </c>
      <c r="Z407" s="38" t="str">
        <f>IF(AND(B407&lt;=NKC!$N$8,B407&gt;=NKC!$M$8),"x","")</f>
        <v/>
      </c>
      <c r="AA407" s="845"/>
      <c r="AB407" s="581"/>
    </row>
    <row r="408" spans="1:28" s="201" customFormat="1" ht="15.75" customHeight="1">
      <c r="A408" s="846" t="str">
        <f>IF(B408&lt;&gt;"",IF(AND(B408&gt;=_TM1,B408&lt;=_TM2,OR(TH!L408="1111",TH!M408="1111")),TH!D408,""),"")</f>
        <v/>
      </c>
      <c r="B408" s="36" t="str">
        <f t="shared" si="11"/>
        <v/>
      </c>
      <c r="C408" s="187"/>
      <c r="D408" s="187"/>
      <c r="E408" s="187"/>
      <c r="F408" s="188"/>
      <c r="G408" s="854"/>
      <c r="H408" s="189"/>
      <c r="I408" s="249"/>
      <c r="J408" s="249"/>
      <c r="K408" s="589"/>
      <c r="L408" s="590"/>
      <c r="M408" s="590"/>
      <c r="N408" s="38" t="str">
        <f>IF(AND('331-CT'!$E$7=TH!H408,OR(L408="331",M408="331")),"331",IF(AND(OR(L408="131",M408="131"),H408='131-CT'!$E$7),"131",""))</f>
        <v/>
      </c>
      <c r="O408" s="38" t="str">
        <f>IF(AND($B408&gt;='111'!$N$11,$B408&lt;='111'!$O$11,OR($L408=$O$7,$M408=$O$7)),"x","")</f>
        <v/>
      </c>
      <c r="P408" s="38" t="str">
        <f>IF(AND($L408=$O$7,$B408&lt;'111'!$N$11),"x","")</f>
        <v/>
      </c>
      <c r="Q408" s="38" t="str">
        <f>IF(AND($M408=$O$7,$B408&lt;'111'!$N$11),"x","")</f>
        <v/>
      </c>
      <c r="R408" s="38" t="str">
        <f>IF(ISERROR(FIND('112'!$M$9,G408,1)),"",IF((AND(FIND('112'!$M$9,G408,1)&gt;=1,$B408&gt;='112'!$N$8,$B408&lt;='112'!$O$8,OR($L408='112'!$I$6,$M408='112'!$I$6))),"x",""))</f>
        <v/>
      </c>
      <c r="S408" s="38" t="str">
        <f>IF(ISERROR(FIND('112'!$M$9,G408,1)),"",IF((AND(LEFT(G408,2)=LEFT('112'!$M$9,2),B408&lt;'112'!$N$8,$L408='112'!$I$6)),"x",""))</f>
        <v/>
      </c>
      <c r="T408" s="38" t="str">
        <f>IF(ISERROR(FIND('112'!$M$9,G408,1)),"",IF((AND(RIGHT(G408,2)=RIGHT('112'!$M$9,2),B408&lt;'112'!$N$8,$M408='112'!$I$6)),"x",""))</f>
        <v/>
      </c>
      <c r="U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38" t="str">
        <f>IF(OR(TH!L408=TH!$V$7,M408=TH!$V$7),"x","")</f>
        <v/>
      </c>
      <c r="W408" s="38" t="str">
        <f>IF(AND(B408&gt;='IN-NX'!$P$3,B408&lt;='IN-NX'!$Q$3,'IN-NX'!$D$7=D408,OR(LEFT(L408,2)="15",AND(LEFT(M408,2)&lt;&gt;"15",LEFT(M408,2)&lt;&gt;"33"))),"x","")</f>
        <v/>
      </c>
      <c r="X408" s="38" t="str">
        <f>IF(AND(OR(LEFT(TH!L408,2)="15",LEFT(TH!M408,2)="15"),'152-CT'!$J$8=TH!F408),"x","")</f>
        <v/>
      </c>
      <c r="Y408" s="38" t="str">
        <f>IF(AND(OR(LEFT(TH!L408,2)="15",LEFT(TH!M408,2)="15"),TK!$E$7=TH!F408),"x","")</f>
        <v/>
      </c>
      <c r="Z408" s="38" t="str">
        <f>IF(AND(B408&lt;=NKC!$N$8,B408&gt;=NKC!$M$8),"x","")</f>
        <v/>
      </c>
      <c r="AA408" s="845"/>
      <c r="AB408" s="581"/>
    </row>
    <row r="409" spans="1:28" s="201" customFormat="1" ht="15.75" customHeight="1">
      <c r="A409" s="846" t="str">
        <f>IF(B409&lt;&gt;"",IF(AND(B409&gt;=_TM1,B409&lt;=_TM2,OR(TH!L409="1111",TH!M409="1111")),TH!D409,""),"")</f>
        <v/>
      </c>
      <c r="B409" s="36" t="str">
        <f t="shared" si="11"/>
        <v/>
      </c>
      <c r="C409" s="187"/>
      <c r="D409" s="187"/>
      <c r="E409" s="187"/>
      <c r="F409" s="188"/>
      <c r="G409" s="854"/>
      <c r="H409" s="189"/>
      <c r="I409" s="249"/>
      <c r="J409" s="249"/>
      <c r="K409" s="589"/>
      <c r="L409" s="590"/>
      <c r="M409" s="590"/>
      <c r="N409" s="38" t="str">
        <f>IF(AND('331-CT'!$E$7=TH!H409,OR(L409="331",M409="331")),"331",IF(AND(OR(L409="131",M409="131"),H409='131-CT'!$E$7),"131",""))</f>
        <v/>
      </c>
      <c r="O409" s="38" t="str">
        <f>IF(AND($B409&gt;='111'!$N$11,$B409&lt;='111'!$O$11,OR($L409=$O$7,$M409=$O$7)),"x","")</f>
        <v/>
      </c>
      <c r="P409" s="38" t="str">
        <f>IF(AND($L409=$O$7,$B409&lt;'111'!$N$11),"x","")</f>
        <v/>
      </c>
      <c r="Q409" s="38" t="str">
        <f>IF(AND($M409=$O$7,$B409&lt;'111'!$N$11),"x","")</f>
        <v/>
      </c>
      <c r="R409" s="38" t="str">
        <f>IF(ISERROR(FIND('112'!$M$9,G409,1)),"",IF((AND(FIND('112'!$M$9,G409,1)&gt;=1,$B409&gt;='112'!$N$8,$B409&lt;='112'!$O$8,OR($L409='112'!$I$6,$M409='112'!$I$6))),"x",""))</f>
        <v/>
      </c>
      <c r="S409" s="38" t="str">
        <f>IF(ISERROR(FIND('112'!$M$9,G409,1)),"",IF((AND(LEFT(G409,2)=LEFT('112'!$M$9,2),B409&lt;'112'!$N$8,$L409='112'!$I$6)),"x",""))</f>
        <v/>
      </c>
      <c r="T409" s="38" t="str">
        <f>IF(ISERROR(FIND('112'!$M$9,G409,1)),"",IF((AND(RIGHT(G409,2)=RIGHT('112'!$M$9,2),B409&lt;'112'!$N$8,$M409='112'!$I$6)),"x",""))</f>
        <v/>
      </c>
      <c r="U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38" t="str">
        <f>IF(OR(TH!L409=TH!$V$7,M409=TH!$V$7),"x","")</f>
        <v/>
      </c>
      <c r="W409" s="38" t="str">
        <f>IF(AND(B409&gt;='IN-NX'!$P$3,B409&lt;='IN-NX'!$Q$3,'IN-NX'!$D$7=D409,OR(LEFT(L409,2)="15",AND(LEFT(M409,2)&lt;&gt;"15",LEFT(M409,2)&lt;&gt;"33"))),"x","")</f>
        <v/>
      </c>
      <c r="X409" s="38" t="str">
        <f>IF(AND(OR(LEFT(TH!L409,2)="15",LEFT(TH!M409,2)="15"),'152-CT'!$J$8=TH!F409),"x","")</f>
        <v/>
      </c>
      <c r="Y409" s="38" t="str">
        <f>IF(AND(OR(LEFT(TH!L409,2)="15",LEFT(TH!M409,2)="15"),TK!$E$7=TH!F409),"x","")</f>
        <v/>
      </c>
      <c r="Z409" s="38" t="str">
        <f>IF(AND(B409&lt;=NKC!$N$8,B409&gt;=NKC!$M$8),"x","")</f>
        <v/>
      </c>
      <c r="AA409" s="845"/>
      <c r="AB409" s="581"/>
    </row>
    <row r="410" spans="1:28" s="201" customFormat="1" ht="15.75" customHeight="1">
      <c r="A410" s="846" t="str">
        <f>IF(B410&lt;&gt;"",IF(AND(B410&gt;=_TM1,B410&lt;=_TM2,OR(TH!L410="1111",TH!M410="1111")),TH!D410,""),"")</f>
        <v/>
      </c>
      <c r="B410" s="36" t="str">
        <f t="shared" si="11"/>
        <v/>
      </c>
      <c r="C410" s="187"/>
      <c r="D410" s="187"/>
      <c r="E410" s="187"/>
      <c r="F410" s="188"/>
      <c r="G410" s="854"/>
      <c r="H410" s="189"/>
      <c r="I410" s="249"/>
      <c r="J410" s="249"/>
      <c r="K410" s="589"/>
      <c r="L410" s="590"/>
      <c r="M410" s="590"/>
      <c r="N410" s="38" t="str">
        <f>IF(AND('331-CT'!$E$7=TH!H410,OR(L410="331",M410="331")),"331",IF(AND(OR(L410="131",M410="131"),H410='131-CT'!$E$7),"131",""))</f>
        <v/>
      </c>
      <c r="O410" s="38" t="str">
        <f>IF(AND($B410&gt;='111'!$N$11,$B410&lt;='111'!$O$11,OR($L410=$O$7,$M410=$O$7)),"x","")</f>
        <v/>
      </c>
      <c r="P410" s="38" t="str">
        <f>IF(AND($L410=$O$7,$B410&lt;'111'!$N$11),"x","")</f>
        <v/>
      </c>
      <c r="Q410" s="38" t="str">
        <f>IF(AND($M410=$O$7,$B410&lt;'111'!$N$11),"x","")</f>
        <v/>
      </c>
      <c r="R410" s="38" t="str">
        <f>IF(ISERROR(FIND('112'!$M$9,G410,1)),"",IF((AND(FIND('112'!$M$9,G410,1)&gt;=1,$B410&gt;='112'!$N$8,$B410&lt;='112'!$O$8,OR($L410='112'!$I$6,$M410='112'!$I$6))),"x",""))</f>
        <v/>
      </c>
      <c r="S410" s="38" t="str">
        <f>IF(ISERROR(FIND('112'!$M$9,G410,1)),"",IF((AND(LEFT(G410,2)=LEFT('112'!$M$9,2),B410&lt;'112'!$N$8,$L410='112'!$I$6)),"x",""))</f>
        <v/>
      </c>
      <c r="T410" s="38" t="str">
        <f>IF(ISERROR(FIND('112'!$M$9,G410,1)),"",IF((AND(RIGHT(G410,2)=RIGHT('112'!$M$9,2),B410&lt;'112'!$N$8,$M410='112'!$I$6)),"x",""))</f>
        <v/>
      </c>
      <c r="U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38" t="str">
        <f>IF(OR(TH!L410=TH!$V$7,M410=TH!$V$7),"x","")</f>
        <v/>
      </c>
      <c r="W410" s="38" t="str">
        <f>IF(AND(B410&gt;='IN-NX'!$P$3,B410&lt;='IN-NX'!$Q$3,'IN-NX'!$D$7=D410,OR(LEFT(L410,2)="15",AND(LEFT(M410,2)&lt;&gt;"15",LEFT(M410,2)&lt;&gt;"33"))),"x","")</f>
        <v/>
      </c>
      <c r="X410" s="38" t="str">
        <f>IF(AND(OR(LEFT(TH!L410,2)="15",LEFT(TH!M410,2)="15"),'152-CT'!$J$8=TH!F410),"x","")</f>
        <v/>
      </c>
      <c r="Y410" s="38" t="str">
        <f>IF(AND(OR(LEFT(TH!L410,2)="15",LEFT(TH!M410,2)="15"),TK!$E$7=TH!F410),"x","")</f>
        <v/>
      </c>
      <c r="Z410" s="38" t="str">
        <f>IF(AND(B410&lt;=NKC!$N$8,B410&gt;=NKC!$M$8),"x","")</f>
        <v/>
      </c>
      <c r="AA410" s="845"/>
      <c r="AB410" s="581"/>
    </row>
    <row r="411" spans="1:28" s="201" customFormat="1" ht="15.75" customHeight="1">
      <c r="A411" s="846" t="str">
        <f>IF(B411&lt;&gt;"",IF(AND(B411&gt;=_TM1,B411&lt;=_TM2,OR(TH!L411="1111",TH!M411="1111")),TH!D411,""),"")</f>
        <v/>
      </c>
      <c r="B411" s="36" t="str">
        <f t="shared" si="11"/>
        <v/>
      </c>
      <c r="C411" s="187"/>
      <c r="D411" s="187"/>
      <c r="E411" s="187"/>
      <c r="F411" s="188"/>
      <c r="G411" s="854"/>
      <c r="H411" s="189"/>
      <c r="I411" s="249"/>
      <c r="J411" s="249"/>
      <c r="K411" s="589"/>
      <c r="L411" s="590"/>
      <c r="M411" s="590"/>
      <c r="N411" s="38" t="str">
        <f>IF(AND('331-CT'!$E$7=TH!H411,OR(L411="331",M411="331")),"331",IF(AND(OR(L411="131",M411="131"),H411='131-CT'!$E$7),"131",""))</f>
        <v/>
      </c>
      <c r="O411" s="38" t="str">
        <f>IF(AND($B411&gt;='111'!$N$11,$B411&lt;='111'!$O$11,OR($L411=$O$7,$M411=$O$7)),"x","")</f>
        <v/>
      </c>
      <c r="P411" s="38" t="str">
        <f>IF(AND($L411=$O$7,$B411&lt;'111'!$N$11),"x","")</f>
        <v/>
      </c>
      <c r="Q411" s="38" t="str">
        <f>IF(AND($M411=$O$7,$B411&lt;'111'!$N$11),"x","")</f>
        <v/>
      </c>
      <c r="R411" s="38" t="str">
        <f>IF(ISERROR(FIND('112'!$M$9,G411,1)),"",IF((AND(FIND('112'!$M$9,G411,1)&gt;=1,$B411&gt;='112'!$N$8,$B411&lt;='112'!$O$8,OR($L411='112'!$I$6,$M411='112'!$I$6))),"x",""))</f>
        <v/>
      </c>
      <c r="S411" s="38" t="str">
        <f>IF(ISERROR(FIND('112'!$M$9,G411,1)),"",IF((AND(LEFT(G411,2)=LEFT('112'!$M$9,2),B411&lt;'112'!$N$8,$L411='112'!$I$6)),"x",""))</f>
        <v/>
      </c>
      <c r="T411" s="38" t="str">
        <f>IF(ISERROR(FIND('112'!$M$9,G411,1)),"",IF((AND(RIGHT(G411,2)=RIGHT('112'!$M$9,2),B411&lt;'112'!$N$8,$M411='112'!$I$6)),"x",""))</f>
        <v/>
      </c>
      <c r="U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38" t="str">
        <f>IF(OR(TH!L411=TH!$V$7,M411=TH!$V$7),"x","")</f>
        <v/>
      </c>
      <c r="W411" s="38" t="str">
        <f>IF(AND(B411&gt;='IN-NX'!$P$3,B411&lt;='IN-NX'!$Q$3,'IN-NX'!$D$7=D411,OR(LEFT(L411,2)="15",AND(LEFT(M411,2)&lt;&gt;"15",LEFT(M411,2)&lt;&gt;"33"))),"x","")</f>
        <v/>
      </c>
      <c r="X411" s="38" t="str">
        <f>IF(AND(OR(LEFT(TH!L411,2)="15",LEFT(TH!M411,2)="15"),'152-CT'!$J$8=TH!F411),"x","")</f>
        <v/>
      </c>
      <c r="Y411" s="38" t="str">
        <f>IF(AND(OR(LEFT(TH!L411,2)="15",LEFT(TH!M411,2)="15"),TK!$E$7=TH!F411),"x","")</f>
        <v/>
      </c>
      <c r="Z411" s="38" t="str">
        <f>IF(AND(B411&lt;=NKC!$N$8,B411&gt;=NKC!$M$8),"x","")</f>
        <v/>
      </c>
      <c r="AA411" s="845"/>
      <c r="AB411" s="581"/>
    </row>
    <row r="412" spans="1:28" s="201" customFormat="1" ht="15.75" customHeight="1">
      <c r="A412" s="846" t="str">
        <f>IF(B412&lt;&gt;"",IF(AND(B412&gt;=_TM1,B412&lt;=_TM2,OR(TH!L412="1111",TH!M412="1111")),TH!D412,""),"")</f>
        <v/>
      </c>
      <c r="B412" s="36" t="str">
        <f t="shared" si="11"/>
        <v/>
      </c>
      <c r="C412" s="187"/>
      <c r="D412" s="187"/>
      <c r="E412" s="187"/>
      <c r="F412" s="188"/>
      <c r="G412" s="854"/>
      <c r="H412" s="189"/>
      <c r="I412" s="250"/>
      <c r="J412" s="250"/>
      <c r="K412" s="589"/>
      <c r="L412" s="590"/>
      <c r="M412" s="590"/>
      <c r="N412" s="38" t="str">
        <f>IF(AND('331-CT'!$E$7=TH!H412,OR(L412="331",M412="331")),"331",IF(AND(OR(L412="131",M412="131"),H412='131-CT'!$E$7),"131",""))</f>
        <v/>
      </c>
      <c r="O412" s="38" t="str">
        <f>IF(AND($B412&gt;='111'!$N$11,$B412&lt;='111'!$O$11,OR($L412=$O$7,$M412=$O$7)),"x","")</f>
        <v/>
      </c>
      <c r="P412" s="38" t="str">
        <f>IF(AND($L412=$O$7,$B412&lt;'111'!$N$11),"x","")</f>
        <v/>
      </c>
      <c r="Q412" s="38" t="str">
        <f>IF(AND($M412=$O$7,$B412&lt;'111'!$N$11),"x","")</f>
        <v/>
      </c>
      <c r="R412" s="38" t="str">
        <f>IF(ISERROR(FIND('112'!$M$9,G412,1)),"",IF((AND(FIND('112'!$M$9,G412,1)&gt;=1,$B412&gt;='112'!$N$8,$B412&lt;='112'!$O$8,OR($L412='112'!$I$6,$M412='112'!$I$6))),"x",""))</f>
        <v/>
      </c>
      <c r="S412" s="38" t="str">
        <f>IF(ISERROR(FIND('112'!$M$9,G412,1)),"",IF((AND(LEFT(G412,2)=LEFT('112'!$M$9,2),B412&lt;'112'!$N$8,$L412='112'!$I$6)),"x",""))</f>
        <v/>
      </c>
      <c r="T412" s="38" t="str">
        <f>IF(ISERROR(FIND('112'!$M$9,G412,1)),"",IF((AND(RIGHT(G412,2)=RIGHT('112'!$M$9,2),B412&lt;'112'!$N$8,$M412='112'!$I$6)),"x",""))</f>
        <v/>
      </c>
      <c r="U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38" t="str">
        <f>IF(OR(TH!L412=TH!$V$7,M412=TH!$V$7),"x","")</f>
        <v/>
      </c>
      <c r="W412" s="38" t="str">
        <f>IF(AND(B412&gt;='IN-NX'!$P$3,B412&lt;='IN-NX'!$Q$3,'IN-NX'!$D$7=D412,OR(LEFT(L412,2)="15",AND(LEFT(M412,2)&lt;&gt;"15",LEFT(M412,2)&lt;&gt;"33"))),"x","")</f>
        <v/>
      </c>
      <c r="X412" s="38" t="str">
        <f>IF(AND(OR(LEFT(TH!L412,2)="15",LEFT(TH!M412,2)="15"),'152-CT'!$J$8=TH!F412),"x","")</f>
        <v/>
      </c>
      <c r="Y412" s="38" t="str">
        <f>IF(AND(OR(LEFT(TH!L412,2)="15",LEFT(TH!M412,2)="15"),TK!$E$7=TH!F412),"x","")</f>
        <v/>
      </c>
      <c r="Z412" s="38" t="str">
        <f>IF(AND(B412&lt;=NKC!$N$8,B412&gt;=NKC!$M$8),"x","")</f>
        <v/>
      </c>
      <c r="AA412" s="845"/>
      <c r="AB412" s="581"/>
    </row>
    <row r="413" spans="1:28" s="201" customFormat="1" ht="15.75" customHeight="1">
      <c r="A413" s="846" t="str">
        <f>IF(B413&lt;&gt;"",IF(AND(B413&gt;=_TM1,B413&lt;=_TM2,OR(TH!L413="1111",TH!M413="1111")),TH!D413,""),"")</f>
        <v/>
      </c>
      <c r="B413" s="36" t="str">
        <f t="shared" si="11"/>
        <v/>
      </c>
      <c r="C413" s="187"/>
      <c r="D413" s="187"/>
      <c r="E413" s="187"/>
      <c r="F413" s="188"/>
      <c r="G413" s="854"/>
      <c r="H413" s="189"/>
      <c r="I413" s="249"/>
      <c r="J413" s="249"/>
      <c r="K413" s="589"/>
      <c r="L413" s="590"/>
      <c r="M413" s="590"/>
      <c r="N413" s="38" t="str">
        <f>IF(AND('331-CT'!$E$7=TH!H413,OR(L413="331",M413="331")),"331",IF(AND(OR(L413="131",M413="131"),H413='131-CT'!$E$7),"131",""))</f>
        <v/>
      </c>
      <c r="O413" s="38" t="str">
        <f>IF(AND($B413&gt;='111'!$N$11,$B413&lt;='111'!$O$11,OR($L413=$O$7,$M413=$O$7)),"x","")</f>
        <v/>
      </c>
      <c r="P413" s="38" t="str">
        <f>IF(AND($L413=$O$7,$B413&lt;'111'!$N$11),"x","")</f>
        <v/>
      </c>
      <c r="Q413" s="38" t="str">
        <f>IF(AND($M413=$O$7,$B413&lt;'111'!$N$11),"x","")</f>
        <v/>
      </c>
      <c r="R413" s="38" t="str">
        <f>IF(ISERROR(FIND('112'!$M$9,G413,1)),"",IF((AND(FIND('112'!$M$9,G413,1)&gt;=1,$B413&gt;='112'!$N$8,$B413&lt;='112'!$O$8,OR($L413='112'!$I$6,$M413='112'!$I$6))),"x",""))</f>
        <v/>
      </c>
      <c r="S413" s="38" t="str">
        <f>IF(ISERROR(FIND('112'!$M$9,G413,1)),"",IF((AND(LEFT(G413,2)=LEFT('112'!$M$9,2),B413&lt;'112'!$N$8,$L413='112'!$I$6)),"x",""))</f>
        <v/>
      </c>
      <c r="T413" s="38" t="str">
        <f>IF(ISERROR(FIND('112'!$M$9,G413,1)),"",IF((AND(RIGHT(G413,2)=RIGHT('112'!$M$9,2),B413&lt;'112'!$N$8,$M413='112'!$I$6)),"x",""))</f>
        <v/>
      </c>
      <c r="U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38" t="str">
        <f>IF(OR(TH!L413=TH!$V$7,M413=TH!$V$7),"x","")</f>
        <v/>
      </c>
      <c r="W413" s="38" t="str">
        <f>IF(AND(B413&gt;='IN-NX'!$P$3,B413&lt;='IN-NX'!$Q$3,'IN-NX'!$D$7=D413,OR(LEFT(L413,2)="15",AND(LEFT(M413,2)&lt;&gt;"15",LEFT(M413,2)&lt;&gt;"33"))),"x","")</f>
        <v/>
      </c>
      <c r="X413" s="38" t="str">
        <f>IF(AND(OR(LEFT(TH!L413,2)="15",LEFT(TH!M413,2)="15"),'152-CT'!$J$8=TH!F413),"x","")</f>
        <v/>
      </c>
      <c r="Y413" s="38" t="str">
        <f>IF(AND(OR(LEFT(TH!L413,2)="15",LEFT(TH!M413,2)="15"),TK!$E$7=TH!F413),"x","")</f>
        <v/>
      </c>
      <c r="Z413" s="38" t="str">
        <f>IF(AND(B413&lt;=NKC!$N$8,B413&gt;=NKC!$M$8),"x","")</f>
        <v/>
      </c>
      <c r="AA413" s="845"/>
      <c r="AB413" s="581"/>
    </row>
    <row r="414" spans="1:28" s="201" customFormat="1" ht="15.75" customHeight="1">
      <c r="A414" s="846" t="str">
        <f>IF(B414&lt;&gt;"",IF(AND(B414&gt;=_TM1,B414&lt;=_TM2,OR(TH!L414="1111",TH!M414="1111")),TH!D414,""),"")</f>
        <v/>
      </c>
      <c r="B414" s="36" t="str">
        <f t="shared" si="11"/>
        <v/>
      </c>
      <c r="C414" s="187"/>
      <c r="D414" s="187"/>
      <c r="E414" s="187"/>
      <c r="F414" s="188"/>
      <c r="G414" s="854"/>
      <c r="H414" s="189"/>
      <c r="I414" s="249"/>
      <c r="J414" s="249"/>
      <c r="K414" s="589"/>
      <c r="L414" s="590"/>
      <c r="M414" s="590"/>
      <c r="N414" s="38" t="str">
        <f>IF(AND('331-CT'!$E$7=TH!H414,OR(L414="331",M414="331")),"331",IF(AND(OR(L414="131",M414="131"),H414='131-CT'!$E$7),"131",""))</f>
        <v/>
      </c>
      <c r="O414" s="38" t="str">
        <f>IF(AND($B414&gt;='111'!$N$11,$B414&lt;='111'!$O$11,OR($L414=$O$7,$M414=$O$7)),"x","")</f>
        <v/>
      </c>
      <c r="P414" s="38" t="str">
        <f>IF(AND($L414=$O$7,$B414&lt;'111'!$N$11),"x","")</f>
        <v/>
      </c>
      <c r="Q414" s="38" t="str">
        <f>IF(AND($M414=$O$7,$B414&lt;'111'!$N$11),"x","")</f>
        <v/>
      </c>
      <c r="R414" s="38" t="str">
        <f>IF(ISERROR(FIND('112'!$M$9,G414,1)),"",IF((AND(FIND('112'!$M$9,G414,1)&gt;=1,$B414&gt;='112'!$N$8,$B414&lt;='112'!$O$8,OR($L414='112'!$I$6,$M414='112'!$I$6))),"x",""))</f>
        <v/>
      </c>
      <c r="S414" s="38" t="str">
        <f>IF(ISERROR(FIND('112'!$M$9,G414,1)),"",IF((AND(LEFT(G414,2)=LEFT('112'!$M$9,2),B414&lt;'112'!$N$8,$L414='112'!$I$6)),"x",""))</f>
        <v/>
      </c>
      <c r="T414" s="38" t="str">
        <f>IF(ISERROR(FIND('112'!$M$9,G414,1)),"",IF((AND(RIGHT(G414,2)=RIGHT('112'!$M$9,2),B414&lt;'112'!$N$8,$M414='112'!$I$6)),"x",""))</f>
        <v/>
      </c>
      <c r="U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38" t="str">
        <f>IF(OR(TH!L414=TH!$V$7,M414=TH!$V$7),"x","")</f>
        <v/>
      </c>
      <c r="W414" s="38" t="str">
        <f>IF(AND(B414&gt;='IN-NX'!$P$3,B414&lt;='IN-NX'!$Q$3,'IN-NX'!$D$7=D414,OR(LEFT(L414,2)="15",AND(LEFT(M414,2)&lt;&gt;"15",LEFT(M414,2)&lt;&gt;"33"))),"x","")</f>
        <v/>
      </c>
      <c r="X414" s="38" t="str">
        <f>IF(AND(OR(LEFT(TH!L414,2)="15",LEFT(TH!M414,2)="15"),'152-CT'!$J$8=TH!F414),"x","")</f>
        <v/>
      </c>
      <c r="Y414" s="38" t="str">
        <f>IF(AND(OR(LEFT(TH!L414,2)="15",LEFT(TH!M414,2)="15"),TK!$E$7=TH!F414),"x","")</f>
        <v/>
      </c>
      <c r="Z414" s="38" t="str">
        <f>IF(AND(B414&lt;=NKC!$N$8,B414&gt;=NKC!$M$8),"x","")</f>
        <v/>
      </c>
      <c r="AA414" s="845"/>
      <c r="AB414" s="581"/>
    </row>
    <row r="415" spans="1:28" s="201" customFormat="1" ht="15.75" customHeight="1">
      <c r="A415" s="846" t="str">
        <f>IF(B415&lt;&gt;"",IF(AND(B415&gt;=_TM1,B415&lt;=_TM2,OR(TH!L415="1111",TH!M415="1111")),TH!D415,""),"")</f>
        <v/>
      </c>
      <c r="B415" s="36" t="str">
        <f t="shared" si="11"/>
        <v/>
      </c>
      <c r="C415" s="187"/>
      <c r="D415" s="187"/>
      <c r="E415" s="187"/>
      <c r="F415" s="188"/>
      <c r="G415" s="854"/>
      <c r="H415" s="189"/>
      <c r="I415" s="250"/>
      <c r="J415" s="250"/>
      <c r="K415" s="589"/>
      <c r="L415" s="590"/>
      <c r="M415" s="590"/>
      <c r="N415" s="38" t="str">
        <f>IF(AND('331-CT'!$E$7=TH!H415,OR(L415="331",M415="331")),"331",IF(AND(OR(L415="131",M415="131"),H415='131-CT'!$E$7),"131",""))</f>
        <v/>
      </c>
      <c r="O415" s="38" t="str">
        <f>IF(AND($B415&gt;='111'!$N$11,$B415&lt;='111'!$O$11,OR($L415=$O$7,$M415=$O$7)),"x","")</f>
        <v/>
      </c>
      <c r="P415" s="38" t="str">
        <f>IF(AND($L415=$O$7,$B415&lt;'111'!$N$11),"x","")</f>
        <v/>
      </c>
      <c r="Q415" s="38" t="str">
        <f>IF(AND($M415=$O$7,$B415&lt;'111'!$N$11),"x","")</f>
        <v/>
      </c>
      <c r="R415" s="38" t="str">
        <f>IF(ISERROR(FIND('112'!$M$9,G415,1)),"",IF((AND(FIND('112'!$M$9,G415,1)&gt;=1,$B415&gt;='112'!$N$8,$B415&lt;='112'!$O$8,OR($L415='112'!$I$6,$M415='112'!$I$6))),"x",""))</f>
        <v/>
      </c>
      <c r="S415" s="38" t="str">
        <f>IF(ISERROR(FIND('112'!$M$9,G415,1)),"",IF((AND(LEFT(G415,2)=LEFT('112'!$M$9,2),B415&lt;'112'!$N$8,$L415='112'!$I$6)),"x",""))</f>
        <v/>
      </c>
      <c r="T415" s="38" t="str">
        <f>IF(ISERROR(FIND('112'!$M$9,G415,1)),"",IF((AND(RIGHT(G415,2)=RIGHT('112'!$M$9,2),B415&lt;'112'!$N$8,$M415='112'!$I$6)),"x",""))</f>
        <v/>
      </c>
      <c r="U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38" t="str">
        <f>IF(OR(TH!L415=TH!$V$7,M415=TH!$V$7),"x","")</f>
        <v/>
      </c>
      <c r="W415" s="38" t="str">
        <f>IF(AND(B415&gt;='IN-NX'!$P$3,B415&lt;='IN-NX'!$Q$3,'IN-NX'!$D$7=D415,OR(LEFT(L415,2)="15",AND(LEFT(M415,2)&lt;&gt;"15",LEFT(M415,2)&lt;&gt;"33"))),"x","")</f>
        <v/>
      </c>
      <c r="X415" s="38" t="str">
        <f>IF(AND(OR(LEFT(TH!L415,2)="15",LEFT(TH!M415,2)="15"),'152-CT'!$J$8=TH!F415),"x","")</f>
        <v/>
      </c>
      <c r="Y415" s="38" t="str">
        <f>IF(AND(OR(LEFT(TH!L415,2)="15",LEFT(TH!M415,2)="15"),TK!$E$7=TH!F415),"x","")</f>
        <v/>
      </c>
      <c r="Z415" s="38" t="str">
        <f>IF(AND(B415&lt;=NKC!$N$8,B415&gt;=NKC!$M$8),"x","")</f>
        <v/>
      </c>
      <c r="AA415" s="845"/>
      <c r="AB415" s="581"/>
    </row>
    <row r="416" spans="1:28" s="201" customFormat="1" ht="15.75" customHeight="1">
      <c r="A416" s="846" t="str">
        <f>IF(B416&lt;&gt;"",IF(AND(B416&gt;=_TM1,B416&lt;=_TM2,OR(TH!L416="1111",TH!M416="1111")),TH!D416,""),"")</f>
        <v/>
      </c>
      <c r="B416" s="36" t="str">
        <f t="shared" si="11"/>
        <v/>
      </c>
      <c r="C416" s="187"/>
      <c r="D416" s="187"/>
      <c r="E416" s="187"/>
      <c r="F416" s="188"/>
      <c r="G416" s="854"/>
      <c r="H416" s="189"/>
      <c r="I416" s="249"/>
      <c r="J416" s="249"/>
      <c r="K416" s="589"/>
      <c r="L416" s="590"/>
      <c r="M416" s="590"/>
      <c r="N416" s="38" t="str">
        <f>IF(AND('331-CT'!$E$7=TH!H416,OR(L416="331",M416="331")),"331",IF(AND(OR(L416="131",M416="131"),H416='131-CT'!$E$7),"131",""))</f>
        <v/>
      </c>
      <c r="O416" s="38" t="str">
        <f>IF(AND($B416&gt;='111'!$N$11,$B416&lt;='111'!$O$11,OR($L416=$O$7,$M416=$O$7)),"x","")</f>
        <v/>
      </c>
      <c r="P416" s="38" t="str">
        <f>IF(AND($L416=$O$7,$B416&lt;'111'!$N$11),"x","")</f>
        <v/>
      </c>
      <c r="Q416" s="38" t="str">
        <f>IF(AND($M416=$O$7,$B416&lt;'111'!$N$11),"x","")</f>
        <v/>
      </c>
      <c r="R416" s="38" t="str">
        <f>IF(ISERROR(FIND('112'!$M$9,G416,1)),"",IF((AND(FIND('112'!$M$9,G416,1)&gt;=1,$B416&gt;='112'!$N$8,$B416&lt;='112'!$O$8,OR($L416='112'!$I$6,$M416='112'!$I$6))),"x",""))</f>
        <v/>
      </c>
      <c r="S416" s="38" t="str">
        <f>IF(ISERROR(FIND('112'!$M$9,G416,1)),"",IF((AND(LEFT(G416,2)=LEFT('112'!$M$9,2),B416&lt;'112'!$N$8,$L416='112'!$I$6)),"x",""))</f>
        <v/>
      </c>
      <c r="T416" s="38" t="str">
        <f>IF(ISERROR(FIND('112'!$M$9,G416,1)),"",IF((AND(RIGHT(G416,2)=RIGHT('112'!$M$9,2),B416&lt;'112'!$N$8,$M416='112'!$I$6)),"x",""))</f>
        <v/>
      </c>
      <c r="U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38" t="str">
        <f>IF(OR(TH!L416=TH!$V$7,M416=TH!$V$7),"x","")</f>
        <v/>
      </c>
      <c r="W416" s="38" t="str">
        <f>IF(AND(B416&gt;='IN-NX'!$P$3,B416&lt;='IN-NX'!$Q$3,'IN-NX'!$D$7=D416,OR(LEFT(L416,2)="15",AND(LEFT(M416,2)&lt;&gt;"15",LEFT(M416,2)&lt;&gt;"33"))),"x","")</f>
        <v/>
      </c>
      <c r="X416" s="38" t="str">
        <f>IF(AND(OR(LEFT(TH!L416,2)="15",LEFT(TH!M416,2)="15"),'152-CT'!$J$8=TH!F416),"x","")</f>
        <v/>
      </c>
      <c r="Y416" s="38" t="str">
        <f>IF(AND(OR(LEFT(TH!L416,2)="15",LEFT(TH!M416,2)="15"),TK!$E$7=TH!F416),"x","")</f>
        <v/>
      </c>
      <c r="Z416" s="38" t="str">
        <f>IF(AND(B416&lt;=NKC!$N$8,B416&gt;=NKC!$M$8),"x","")</f>
        <v/>
      </c>
      <c r="AA416" s="845"/>
      <c r="AB416" s="581"/>
    </row>
    <row r="417" spans="1:28" s="201" customFormat="1" ht="15.75" customHeight="1">
      <c r="A417" s="846" t="str">
        <f>IF(B417&lt;&gt;"",IF(AND(B417&gt;=_TM1,B417&lt;=_TM2,OR(TH!L417="1111",TH!M417="1111")),TH!D417,""),"")</f>
        <v/>
      </c>
      <c r="B417" s="36" t="str">
        <f t="shared" si="11"/>
        <v/>
      </c>
      <c r="C417" s="187"/>
      <c r="D417" s="187"/>
      <c r="E417" s="187"/>
      <c r="F417" s="188"/>
      <c r="G417" s="854"/>
      <c r="H417" s="189"/>
      <c r="I417" s="249"/>
      <c r="J417" s="249"/>
      <c r="K417" s="589"/>
      <c r="L417" s="590"/>
      <c r="M417" s="590"/>
      <c r="N417" s="38" t="str">
        <f>IF(AND('331-CT'!$E$7=TH!H417,OR(L417="331",M417="331")),"331",IF(AND(OR(L417="131",M417="131"),H417='131-CT'!$E$7),"131",""))</f>
        <v/>
      </c>
      <c r="O417" s="38" t="str">
        <f>IF(AND($B417&gt;='111'!$N$11,$B417&lt;='111'!$O$11,OR($L417=$O$7,$M417=$O$7)),"x","")</f>
        <v/>
      </c>
      <c r="P417" s="38" t="str">
        <f>IF(AND($L417=$O$7,$B417&lt;'111'!$N$11),"x","")</f>
        <v/>
      </c>
      <c r="Q417" s="38" t="str">
        <f>IF(AND($M417=$O$7,$B417&lt;'111'!$N$11),"x","")</f>
        <v/>
      </c>
      <c r="R417" s="38" t="str">
        <f>IF(ISERROR(FIND('112'!$M$9,G417,1)),"",IF((AND(FIND('112'!$M$9,G417,1)&gt;=1,$B417&gt;='112'!$N$8,$B417&lt;='112'!$O$8,OR($L417='112'!$I$6,$M417='112'!$I$6))),"x",""))</f>
        <v/>
      </c>
      <c r="S417" s="38" t="str">
        <f>IF(ISERROR(FIND('112'!$M$9,G417,1)),"",IF((AND(LEFT(G417,2)=LEFT('112'!$M$9,2),B417&lt;'112'!$N$8,$L417='112'!$I$6)),"x",""))</f>
        <v/>
      </c>
      <c r="T417" s="38" t="str">
        <f>IF(ISERROR(FIND('112'!$M$9,G417,1)),"",IF((AND(RIGHT(G417,2)=RIGHT('112'!$M$9,2),B417&lt;'112'!$N$8,$M417='112'!$I$6)),"x",""))</f>
        <v/>
      </c>
      <c r="U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38" t="str">
        <f>IF(OR(TH!L417=TH!$V$7,M417=TH!$V$7),"x","")</f>
        <v/>
      </c>
      <c r="W417" s="38" t="str">
        <f>IF(AND(B417&gt;='IN-NX'!$P$3,B417&lt;='IN-NX'!$Q$3,'IN-NX'!$D$7=D417,OR(LEFT(L417,2)="15",AND(LEFT(M417,2)&lt;&gt;"15",LEFT(M417,2)&lt;&gt;"33"))),"x","")</f>
        <v/>
      </c>
      <c r="X417" s="38" t="str">
        <f>IF(AND(OR(LEFT(TH!L417,2)="15",LEFT(TH!M417,2)="15"),'152-CT'!$J$8=TH!F417),"x","")</f>
        <v/>
      </c>
      <c r="Y417" s="38" t="str">
        <f>IF(AND(OR(LEFT(TH!L417,2)="15",LEFT(TH!M417,2)="15"),TK!$E$7=TH!F417),"x","")</f>
        <v/>
      </c>
      <c r="Z417" s="38" t="str">
        <f>IF(AND(B417&lt;=NKC!$N$8,B417&gt;=NKC!$M$8),"x","")</f>
        <v/>
      </c>
      <c r="AA417" s="845"/>
      <c r="AB417" s="581"/>
    </row>
    <row r="418" spans="1:28" s="201" customFormat="1" ht="15.75" customHeight="1">
      <c r="A418" s="846" t="str">
        <f>IF(B418&lt;&gt;"",IF(AND(B418&gt;=_TM1,B418&lt;=_TM2,OR(TH!L418="1111",TH!M418="1111")),TH!D418,""),"")</f>
        <v/>
      </c>
      <c r="B418" s="36" t="str">
        <f t="shared" si="11"/>
        <v/>
      </c>
      <c r="C418" s="187"/>
      <c r="D418" s="187"/>
      <c r="E418" s="187"/>
      <c r="F418" s="188"/>
      <c r="G418" s="854"/>
      <c r="H418" s="189"/>
      <c r="I418" s="249"/>
      <c r="J418" s="249"/>
      <c r="K418" s="589"/>
      <c r="L418" s="590"/>
      <c r="M418" s="590"/>
      <c r="N418" s="38" t="str">
        <f>IF(AND('331-CT'!$E$7=TH!H418,OR(L418="331",M418="331")),"331",IF(AND(OR(L418="131",M418="131"),H418='131-CT'!$E$7),"131",""))</f>
        <v/>
      </c>
      <c r="O418" s="38" t="str">
        <f>IF(AND($B418&gt;='111'!$N$11,$B418&lt;='111'!$O$11,OR($L418=$O$7,$M418=$O$7)),"x","")</f>
        <v/>
      </c>
      <c r="P418" s="38" t="str">
        <f>IF(AND($L418=$O$7,$B418&lt;'111'!$N$11),"x","")</f>
        <v/>
      </c>
      <c r="Q418" s="38" t="str">
        <f>IF(AND($M418=$O$7,$B418&lt;'111'!$N$11),"x","")</f>
        <v/>
      </c>
      <c r="R418" s="38" t="str">
        <f>IF(ISERROR(FIND('112'!$M$9,G418,1)),"",IF((AND(FIND('112'!$M$9,G418,1)&gt;=1,$B418&gt;='112'!$N$8,$B418&lt;='112'!$O$8,OR($L418='112'!$I$6,$M418='112'!$I$6))),"x",""))</f>
        <v/>
      </c>
      <c r="S418" s="38" t="str">
        <f>IF(ISERROR(FIND('112'!$M$9,G418,1)),"",IF((AND(LEFT(G418,2)=LEFT('112'!$M$9,2),B418&lt;'112'!$N$8,$L418='112'!$I$6)),"x",""))</f>
        <v/>
      </c>
      <c r="T418" s="38" t="str">
        <f>IF(ISERROR(FIND('112'!$M$9,G418,1)),"",IF((AND(RIGHT(G418,2)=RIGHT('112'!$M$9,2),B418&lt;'112'!$N$8,$M418='112'!$I$6)),"x",""))</f>
        <v/>
      </c>
      <c r="U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38" t="str">
        <f>IF(OR(TH!L418=TH!$V$7,M418=TH!$V$7),"x","")</f>
        <v/>
      </c>
      <c r="W418" s="38" t="str">
        <f>IF(AND(B418&gt;='IN-NX'!$P$3,B418&lt;='IN-NX'!$Q$3,'IN-NX'!$D$7=D418,OR(LEFT(L418,2)="15",AND(LEFT(M418,2)&lt;&gt;"15",LEFT(M418,2)&lt;&gt;"33"))),"x","")</f>
        <v/>
      </c>
      <c r="X418" s="38" t="str">
        <f>IF(AND(OR(LEFT(TH!L418,2)="15",LEFT(TH!M418,2)="15"),'152-CT'!$J$8=TH!F418),"x","")</f>
        <v/>
      </c>
      <c r="Y418" s="38" t="str">
        <f>IF(AND(OR(LEFT(TH!L418,2)="15",LEFT(TH!M418,2)="15"),TK!$E$7=TH!F418),"x","")</f>
        <v/>
      </c>
      <c r="Z418" s="38" t="str">
        <f>IF(AND(B418&lt;=NKC!$N$8,B418&gt;=NKC!$M$8),"x","")</f>
        <v/>
      </c>
      <c r="AA418" s="845"/>
      <c r="AB418" s="581"/>
    </row>
    <row r="419" spans="1:28" s="201" customFormat="1" ht="15.75" customHeight="1">
      <c r="A419" s="846" t="str">
        <f>IF(B419&lt;&gt;"",IF(AND(B419&gt;=_TM1,B419&lt;=_TM2,OR(TH!L419="1111",TH!M419="1111")),TH!D419,""),"")</f>
        <v/>
      </c>
      <c r="B419" s="36" t="str">
        <f t="shared" si="11"/>
        <v/>
      </c>
      <c r="C419" s="187"/>
      <c r="D419" s="187"/>
      <c r="E419" s="187"/>
      <c r="F419" s="39"/>
      <c r="G419" s="854"/>
      <c r="H419" s="189"/>
      <c r="I419" s="249"/>
      <c r="J419" s="249"/>
      <c r="K419" s="589"/>
      <c r="L419" s="590"/>
      <c r="M419" s="590"/>
      <c r="N419" s="38" t="str">
        <f>IF(AND('331-CT'!$E$7=TH!H419,OR(L419="331",M419="331")),"331",IF(AND(OR(L419="131",M419="131"),H419='131-CT'!$E$7),"131",""))</f>
        <v/>
      </c>
      <c r="O419" s="38" t="str">
        <f>IF(AND($B419&gt;='111'!$N$11,$B419&lt;='111'!$O$11,OR($L419=$O$7,$M419=$O$7)),"x","")</f>
        <v/>
      </c>
      <c r="P419" s="38" t="str">
        <f>IF(AND($L419=$O$7,$B419&lt;'111'!$N$11),"x","")</f>
        <v/>
      </c>
      <c r="Q419" s="38" t="str">
        <f>IF(AND($M419=$O$7,$B419&lt;'111'!$N$11),"x","")</f>
        <v/>
      </c>
      <c r="R419" s="38" t="str">
        <f>IF(ISERROR(FIND('112'!$M$9,G419,1)),"",IF((AND(FIND('112'!$M$9,G419,1)&gt;=1,$B419&gt;='112'!$N$8,$B419&lt;='112'!$O$8,OR($L419='112'!$I$6,$M419='112'!$I$6))),"x",""))</f>
        <v/>
      </c>
      <c r="S419" s="38" t="str">
        <f>IF(ISERROR(FIND('112'!$M$9,G419,1)),"",IF((AND(LEFT(G419,2)=LEFT('112'!$M$9,2),B419&lt;'112'!$N$8,$L419='112'!$I$6)),"x",""))</f>
        <v/>
      </c>
      <c r="T419" s="38" t="str">
        <f>IF(ISERROR(FIND('112'!$M$9,G419,1)),"",IF((AND(RIGHT(G419,2)=RIGHT('112'!$M$9,2),B419&lt;'112'!$N$8,$M419='112'!$I$6)),"x",""))</f>
        <v/>
      </c>
      <c r="U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38" t="str">
        <f>IF(OR(TH!L419=TH!$V$7,M419=TH!$V$7),"x","")</f>
        <v/>
      </c>
      <c r="W419" s="38" t="str">
        <f>IF(AND(B419&gt;='IN-NX'!$P$3,B419&lt;='IN-NX'!$Q$3,'IN-NX'!$D$7=D419,OR(LEFT(L419,2)="15",AND(LEFT(M419,2)&lt;&gt;"15",LEFT(M419,2)&lt;&gt;"33"))),"x","")</f>
        <v/>
      </c>
      <c r="X419" s="38" t="str">
        <f>IF(AND(OR(LEFT(TH!L419,2)="15",LEFT(TH!M419,2)="15"),'152-CT'!$J$8=TH!F419),"x","")</f>
        <v/>
      </c>
      <c r="Y419" s="38" t="str">
        <f>IF(AND(OR(LEFT(TH!L419,2)="15",LEFT(TH!M419,2)="15"),TK!$E$7=TH!F419),"x","")</f>
        <v/>
      </c>
      <c r="Z419" s="38" t="str">
        <f>IF(AND(B419&lt;=NKC!$N$8,B419&gt;=NKC!$M$8),"x","")</f>
        <v/>
      </c>
      <c r="AA419" s="845"/>
      <c r="AB419" s="581"/>
    </row>
    <row r="420" spans="1:28" s="201" customFormat="1" ht="15.75" customHeight="1">
      <c r="A420" s="846" t="str">
        <f>IF(B420&lt;&gt;"",IF(AND(B420&gt;=_TM1,B420&lt;=_TM2,OR(TH!L420="1111",TH!M420="1111")),TH!D420,""),"")</f>
        <v/>
      </c>
      <c r="B420" s="36" t="str">
        <f t="shared" si="11"/>
        <v/>
      </c>
      <c r="C420" s="187"/>
      <c r="D420" s="187"/>
      <c r="E420" s="187"/>
      <c r="F420" s="39"/>
      <c r="G420" s="854"/>
      <c r="H420" s="189"/>
      <c r="I420" s="249"/>
      <c r="J420" s="249"/>
      <c r="K420" s="589"/>
      <c r="L420" s="590"/>
      <c r="M420" s="590"/>
      <c r="N420" s="38" t="str">
        <f>IF(AND('331-CT'!$E$7=TH!H420,OR(L420="331",M420="331")),"331",IF(AND(OR(L420="131",M420="131"),H420='131-CT'!$E$7),"131",""))</f>
        <v/>
      </c>
      <c r="O420" s="38" t="str">
        <f>IF(AND($B420&gt;='111'!$N$11,$B420&lt;='111'!$O$11,OR($L420=$O$7,$M420=$O$7)),"x","")</f>
        <v/>
      </c>
      <c r="P420" s="38" t="str">
        <f>IF(AND($L420=$O$7,$B420&lt;'111'!$N$11),"x","")</f>
        <v/>
      </c>
      <c r="Q420" s="38" t="str">
        <f>IF(AND($M420=$O$7,$B420&lt;'111'!$N$11),"x","")</f>
        <v/>
      </c>
      <c r="R420" s="38" t="str">
        <f>IF(ISERROR(FIND('112'!$M$9,G420,1)),"",IF((AND(FIND('112'!$M$9,G420,1)&gt;=1,$B420&gt;='112'!$N$8,$B420&lt;='112'!$O$8,OR($L420='112'!$I$6,$M420='112'!$I$6))),"x",""))</f>
        <v/>
      </c>
      <c r="S420" s="38" t="str">
        <f>IF(ISERROR(FIND('112'!$M$9,G420,1)),"",IF((AND(LEFT(G420,2)=LEFT('112'!$M$9,2),B420&lt;'112'!$N$8,$L420='112'!$I$6)),"x",""))</f>
        <v/>
      </c>
      <c r="T420" s="38" t="str">
        <f>IF(ISERROR(FIND('112'!$M$9,G420,1)),"",IF((AND(RIGHT(G420,2)=RIGHT('112'!$M$9,2),B420&lt;'112'!$N$8,$M420='112'!$I$6)),"x",""))</f>
        <v/>
      </c>
      <c r="U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38" t="str">
        <f>IF(OR(TH!L420=TH!$V$7,M420=TH!$V$7),"x","")</f>
        <v/>
      </c>
      <c r="W420" s="38" t="str">
        <f>IF(AND(B420&gt;='IN-NX'!$P$3,B420&lt;='IN-NX'!$Q$3,'IN-NX'!$D$7=D420,OR(LEFT(L420,2)="15",AND(LEFT(M420,2)&lt;&gt;"15",LEFT(M420,2)&lt;&gt;"33"))),"x","")</f>
        <v/>
      </c>
      <c r="X420" s="38" t="str">
        <f>IF(AND(OR(LEFT(TH!L420,2)="15",LEFT(TH!M420,2)="15"),'152-CT'!$J$8=TH!F420),"x","")</f>
        <v/>
      </c>
      <c r="Y420" s="38" t="str">
        <f>IF(AND(OR(LEFT(TH!L420,2)="15",LEFT(TH!M420,2)="15"),TK!$E$7=TH!F420),"x","")</f>
        <v/>
      </c>
      <c r="Z420" s="38" t="str">
        <f>IF(AND(B420&lt;=NKC!$N$8,B420&gt;=NKC!$M$8),"x","")</f>
        <v/>
      </c>
      <c r="AA420" s="845"/>
      <c r="AB420" s="581"/>
    </row>
    <row r="421" spans="1:28" s="201" customFormat="1" ht="15.75" customHeight="1">
      <c r="A421" s="846" t="str">
        <f>IF(B421&lt;&gt;"",IF(AND(B421&gt;=_TM1,B421&lt;=_TM2,OR(TH!L421="1111",TH!M421="1111")),TH!D421,""),"")</f>
        <v/>
      </c>
      <c r="B421" s="36" t="str">
        <f t="shared" si="11"/>
        <v/>
      </c>
      <c r="C421" s="187"/>
      <c r="D421" s="187"/>
      <c r="E421" s="187"/>
      <c r="F421" s="39"/>
      <c r="G421" s="854"/>
      <c r="H421" s="189"/>
      <c r="I421" s="249"/>
      <c r="J421" s="249"/>
      <c r="K421" s="589"/>
      <c r="L421" s="590"/>
      <c r="M421" s="590"/>
      <c r="N421" s="38" t="str">
        <f>IF(AND('331-CT'!$E$7=TH!H421,OR(L421="331",M421="331")),"331",IF(AND(OR(L421="131",M421="131"),H421='131-CT'!$E$7),"131",""))</f>
        <v/>
      </c>
      <c r="O421" s="38" t="str">
        <f>IF(AND($B421&gt;='111'!$N$11,$B421&lt;='111'!$O$11,OR($L421=$O$7,$M421=$O$7)),"x","")</f>
        <v/>
      </c>
      <c r="P421" s="38" t="str">
        <f>IF(AND($L421=$O$7,$B421&lt;'111'!$N$11),"x","")</f>
        <v/>
      </c>
      <c r="Q421" s="38" t="str">
        <f>IF(AND($M421=$O$7,$B421&lt;'111'!$N$11),"x","")</f>
        <v/>
      </c>
      <c r="R421" s="38" t="str">
        <f>IF(ISERROR(FIND('112'!$M$9,G421,1)),"",IF((AND(FIND('112'!$M$9,G421,1)&gt;=1,$B421&gt;='112'!$N$8,$B421&lt;='112'!$O$8,OR($L421='112'!$I$6,$M421='112'!$I$6))),"x",""))</f>
        <v/>
      </c>
      <c r="S421" s="38" t="str">
        <f>IF(ISERROR(FIND('112'!$M$9,G421,1)),"",IF((AND(LEFT(G421,2)=LEFT('112'!$M$9,2),B421&lt;'112'!$N$8,$L421='112'!$I$6)),"x",""))</f>
        <v/>
      </c>
      <c r="T421" s="38" t="str">
        <f>IF(ISERROR(FIND('112'!$M$9,G421,1)),"",IF((AND(RIGHT(G421,2)=RIGHT('112'!$M$9,2),B421&lt;'112'!$N$8,$M421='112'!$I$6)),"x",""))</f>
        <v/>
      </c>
      <c r="U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38" t="str">
        <f>IF(OR(TH!L421=TH!$V$7,M421=TH!$V$7),"x","")</f>
        <v/>
      </c>
      <c r="W421" s="38" t="str">
        <f>IF(AND(B421&gt;='IN-NX'!$P$3,B421&lt;='IN-NX'!$Q$3,'IN-NX'!$D$7=D421,OR(LEFT(L421,2)="15",AND(LEFT(M421,2)&lt;&gt;"15",LEFT(M421,2)&lt;&gt;"33"))),"x","")</f>
        <v/>
      </c>
      <c r="X421" s="38" t="str">
        <f>IF(AND(OR(LEFT(TH!L421,2)="15",LEFT(TH!M421,2)="15"),'152-CT'!$J$8=TH!F421),"x","")</f>
        <v/>
      </c>
      <c r="Y421" s="38" t="str">
        <f>IF(AND(OR(LEFT(TH!L421,2)="15",LEFT(TH!M421,2)="15"),TK!$E$7=TH!F421),"x","")</f>
        <v/>
      </c>
      <c r="Z421" s="38" t="str">
        <f>IF(AND(B421&lt;=NKC!$N$8,B421&gt;=NKC!$M$8),"x","")</f>
        <v/>
      </c>
      <c r="AA421" s="845"/>
      <c r="AB421" s="581"/>
    </row>
    <row r="422" spans="1:28" s="201" customFormat="1" ht="15.75" customHeight="1">
      <c r="A422" s="846" t="str">
        <f>IF(B422&lt;&gt;"",IF(AND(B422&gt;=_TM1,B422&lt;=_TM2,OR(TH!L422="1111",TH!M422="1111")),TH!D422,""),"")</f>
        <v/>
      </c>
      <c r="B422" s="36" t="str">
        <f t="shared" si="11"/>
        <v/>
      </c>
      <c r="C422" s="187"/>
      <c r="D422" s="187"/>
      <c r="E422" s="187"/>
      <c r="F422" s="39"/>
      <c r="G422" s="854"/>
      <c r="H422" s="189"/>
      <c r="I422" s="249"/>
      <c r="J422" s="249"/>
      <c r="K422" s="589"/>
      <c r="L422" s="590"/>
      <c r="M422" s="590"/>
      <c r="N422" s="38" t="str">
        <f>IF(AND('331-CT'!$E$7=TH!H422,OR(L422="331",M422="331")),"331",IF(AND(OR(L422="131",M422="131"),H422='131-CT'!$E$7),"131",""))</f>
        <v/>
      </c>
      <c r="O422" s="38" t="str">
        <f>IF(AND($B422&gt;='111'!$N$11,$B422&lt;='111'!$O$11,OR($L422=$O$7,$M422=$O$7)),"x","")</f>
        <v/>
      </c>
      <c r="P422" s="38" t="str">
        <f>IF(AND($L422=$O$7,$B422&lt;'111'!$N$11),"x","")</f>
        <v/>
      </c>
      <c r="Q422" s="38" t="str">
        <f>IF(AND($M422=$O$7,$B422&lt;'111'!$N$11),"x","")</f>
        <v/>
      </c>
      <c r="R422" s="38" t="str">
        <f>IF(ISERROR(FIND('112'!$M$9,G422,1)),"",IF((AND(FIND('112'!$M$9,G422,1)&gt;=1,$B422&gt;='112'!$N$8,$B422&lt;='112'!$O$8,OR($L422='112'!$I$6,$M422='112'!$I$6))),"x",""))</f>
        <v/>
      </c>
      <c r="S422" s="38" t="str">
        <f>IF(ISERROR(FIND('112'!$M$9,G422,1)),"",IF((AND(LEFT(G422,2)=LEFT('112'!$M$9,2),B422&lt;'112'!$N$8,$L422='112'!$I$6)),"x",""))</f>
        <v/>
      </c>
      <c r="T422" s="38" t="str">
        <f>IF(ISERROR(FIND('112'!$M$9,G422,1)),"",IF((AND(RIGHT(G422,2)=RIGHT('112'!$M$9,2),B422&lt;'112'!$N$8,$M422='112'!$I$6)),"x",""))</f>
        <v/>
      </c>
      <c r="U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38" t="str">
        <f>IF(OR(TH!L422=TH!$V$7,M422=TH!$V$7),"x","")</f>
        <v/>
      </c>
      <c r="W422" s="38" t="str">
        <f>IF(AND(B422&gt;='IN-NX'!$P$3,B422&lt;='IN-NX'!$Q$3,'IN-NX'!$D$7=D422,OR(LEFT(L422,2)="15",AND(LEFT(M422,2)&lt;&gt;"15",LEFT(M422,2)&lt;&gt;"33"))),"x","")</f>
        <v/>
      </c>
      <c r="X422" s="38" t="str">
        <f>IF(AND(OR(LEFT(TH!L422,2)="15",LEFT(TH!M422,2)="15"),'152-CT'!$J$8=TH!F422),"x","")</f>
        <v/>
      </c>
      <c r="Y422" s="38" t="str">
        <f>IF(AND(OR(LEFT(TH!L422,2)="15",LEFT(TH!M422,2)="15"),TK!$E$7=TH!F422),"x","")</f>
        <v/>
      </c>
      <c r="Z422" s="38" t="str">
        <f>IF(AND(B422&lt;=NKC!$N$8,B422&gt;=NKC!$M$8),"x","")</f>
        <v/>
      </c>
      <c r="AA422" s="845"/>
      <c r="AB422" s="581"/>
    </row>
    <row r="423" spans="1:28" s="201" customFormat="1" ht="15.75" customHeight="1">
      <c r="A423" s="846" t="str">
        <f>IF(B423&lt;&gt;"",IF(AND(B423&gt;=_TM1,B423&lt;=_TM2,OR(TH!L423="1111",TH!M423="1111")),TH!D423,""),"")</f>
        <v/>
      </c>
      <c r="B423" s="36" t="str">
        <f t="shared" si="11"/>
        <v/>
      </c>
      <c r="C423" s="187"/>
      <c r="D423" s="187"/>
      <c r="E423" s="187"/>
      <c r="F423" s="39"/>
      <c r="G423" s="854"/>
      <c r="H423" s="189"/>
      <c r="I423" s="249"/>
      <c r="J423" s="249"/>
      <c r="K423" s="589"/>
      <c r="L423" s="590"/>
      <c r="M423" s="590"/>
      <c r="N423" s="38" t="str">
        <f>IF(AND('331-CT'!$E$7=TH!H423,OR(L423="331",M423="331")),"331",IF(AND(OR(L423="131",M423="131"),H423='131-CT'!$E$7),"131",""))</f>
        <v/>
      </c>
      <c r="O423" s="38" t="str">
        <f>IF(AND($B423&gt;='111'!$N$11,$B423&lt;='111'!$O$11,OR($L423=$O$7,$M423=$O$7)),"x","")</f>
        <v/>
      </c>
      <c r="P423" s="38" t="str">
        <f>IF(AND($L423=$O$7,$B423&lt;'111'!$N$11),"x","")</f>
        <v/>
      </c>
      <c r="Q423" s="38" t="str">
        <f>IF(AND($M423=$O$7,$B423&lt;'111'!$N$11),"x","")</f>
        <v/>
      </c>
      <c r="R423" s="38" t="str">
        <f>IF(ISERROR(FIND('112'!$M$9,G423,1)),"",IF((AND(FIND('112'!$M$9,G423,1)&gt;=1,$B423&gt;='112'!$N$8,$B423&lt;='112'!$O$8,OR($L423='112'!$I$6,$M423='112'!$I$6))),"x",""))</f>
        <v/>
      </c>
      <c r="S423" s="38" t="str">
        <f>IF(ISERROR(FIND('112'!$M$9,G423,1)),"",IF((AND(LEFT(G423,2)=LEFT('112'!$M$9,2),B423&lt;'112'!$N$8,$L423='112'!$I$6)),"x",""))</f>
        <v/>
      </c>
      <c r="T423" s="38" t="str">
        <f>IF(ISERROR(FIND('112'!$M$9,G423,1)),"",IF((AND(RIGHT(G423,2)=RIGHT('112'!$M$9,2),B423&lt;'112'!$N$8,$M423='112'!$I$6)),"x",""))</f>
        <v/>
      </c>
      <c r="U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38" t="str">
        <f>IF(OR(TH!L423=TH!$V$7,M423=TH!$V$7),"x","")</f>
        <v/>
      </c>
      <c r="W423" s="38" t="str">
        <f>IF(AND(B423&gt;='IN-NX'!$P$3,B423&lt;='IN-NX'!$Q$3,'IN-NX'!$D$7=D423,OR(LEFT(L423,2)="15",AND(LEFT(M423,2)&lt;&gt;"15",LEFT(M423,2)&lt;&gt;"33"))),"x","")</f>
        <v/>
      </c>
      <c r="X423" s="38" t="str">
        <f>IF(AND(OR(LEFT(TH!L423,2)="15",LEFT(TH!M423,2)="15"),'152-CT'!$J$8=TH!F423),"x","")</f>
        <v/>
      </c>
      <c r="Y423" s="38" t="str">
        <f>IF(AND(OR(LEFT(TH!L423,2)="15",LEFT(TH!M423,2)="15"),TK!$E$7=TH!F423),"x","")</f>
        <v/>
      </c>
      <c r="Z423" s="38" t="str">
        <f>IF(AND(B423&lt;=NKC!$N$8,B423&gt;=NKC!$M$8),"x","")</f>
        <v/>
      </c>
      <c r="AA423" s="845"/>
      <c r="AB423" s="581"/>
    </row>
    <row r="424" spans="1:28" s="201" customFormat="1" ht="15.75" customHeight="1">
      <c r="A424" s="846" t="str">
        <f>IF(B424&lt;&gt;"",IF(AND(B424&gt;=_TM1,B424&lt;=_TM2,OR(TH!L424="1111",TH!M424="1111")),TH!D424,""),"")</f>
        <v/>
      </c>
      <c r="B424" s="36" t="str">
        <f t="shared" si="11"/>
        <v/>
      </c>
      <c r="C424" s="187"/>
      <c r="D424" s="187"/>
      <c r="E424" s="187"/>
      <c r="F424" s="39"/>
      <c r="G424" s="854"/>
      <c r="H424" s="189"/>
      <c r="I424" s="249"/>
      <c r="J424" s="249"/>
      <c r="K424" s="589"/>
      <c r="L424" s="590"/>
      <c r="M424" s="590"/>
      <c r="N424" s="38" t="str">
        <f>IF(AND('331-CT'!$E$7=TH!H424,OR(L424="331",M424="331")),"331",IF(AND(OR(L424="131",M424="131"),H424='131-CT'!$E$7),"131",""))</f>
        <v/>
      </c>
      <c r="O424" s="38" t="str">
        <f>IF(AND($B424&gt;='111'!$N$11,$B424&lt;='111'!$O$11,OR($L424=$O$7,$M424=$O$7)),"x","")</f>
        <v/>
      </c>
      <c r="P424" s="38" t="str">
        <f>IF(AND($L424=$O$7,$B424&lt;'111'!$N$11),"x","")</f>
        <v/>
      </c>
      <c r="Q424" s="38" t="str">
        <f>IF(AND($M424=$O$7,$B424&lt;'111'!$N$11),"x","")</f>
        <v/>
      </c>
      <c r="R424" s="38" t="str">
        <f>IF(ISERROR(FIND('112'!$M$9,G424,1)),"",IF((AND(FIND('112'!$M$9,G424,1)&gt;=1,$B424&gt;='112'!$N$8,$B424&lt;='112'!$O$8,OR($L424='112'!$I$6,$M424='112'!$I$6))),"x",""))</f>
        <v/>
      </c>
      <c r="S424" s="38" t="str">
        <f>IF(ISERROR(FIND('112'!$M$9,G424,1)),"",IF((AND(LEFT(G424,2)=LEFT('112'!$M$9,2),B424&lt;'112'!$N$8,$L424='112'!$I$6)),"x",""))</f>
        <v/>
      </c>
      <c r="T424" s="38" t="str">
        <f>IF(ISERROR(FIND('112'!$M$9,G424,1)),"",IF((AND(RIGHT(G424,2)=RIGHT('112'!$M$9,2),B424&lt;'112'!$N$8,$M424='112'!$I$6)),"x",""))</f>
        <v/>
      </c>
      <c r="U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38" t="str">
        <f>IF(OR(TH!L424=TH!$V$7,M424=TH!$V$7),"x","")</f>
        <v/>
      </c>
      <c r="W424" s="38" t="str">
        <f>IF(AND(B424&gt;='IN-NX'!$P$3,B424&lt;='IN-NX'!$Q$3,'IN-NX'!$D$7=D424,OR(LEFT(L424,2)="15",AND(LEFT(M424,2)&lt;&gt;"15",LEFT(M424,2)&lt;&gt;"33"))),"x","")</f>
        <v/>
      </c>
      <c r="X424" s="38" t="str">
        <f>IF(AND(OR(LEFT(TH!L424,2)="15",LEFT(TH!M424,2)="15"),'152-CT'!$J$8=TH!F424),"x","")</f>
        <v/>
      </c>
      <c r="Y424" s="38" t="str">
        <f>IF(AND(OR(LEFT(TH!L424,2)="15",LEFT(TH!M424,2)="15"),TK!$E$7=TH!F424),"x","")</f>
        <v/>
      </c>
      <c r="Z424" s="38" t="str">
        <f>IF(AND(B424&lt;=NKC!$N$8,B424&gt;=NKC!$M$8),"x","")</f>
        <v/>
      </c>
      <c r="AA424" s="845"/>
      <c r="AB424" s="581"/>
    </row>
    <row r="425" spans="1:28" s="201" customFormat="1" ht="15.75" customHeight="1">
      <c r="A425" s="846" t="str">
        <f>IF(B425&lt;&gt;"",IF(AND(B425&gt;=_TM1,B425&lt;=_TM2,OR(TH!L425="1111",TH!M425="1111")),TH!D425,""),"")</f>
        <v/>
      </c>
      <c r="B425" s="36" t="str">
        <f t="shared" si="11"/>
        <v/>
      </c>
      <c r="C425" s="187"/>
      <c r="D425" s="187"/>
      <c r="E425" s="187"/>
      <c r="F425" s="39"/>
      <c r="G425" s="854"/>
      <c r="H425" s="189"/>
      <c r="I425" s="249"/>
      <c r="J425" s="249"/>
      <c r="K425" s="589"/>
      <c r="L425" s="590"/>
      <c r="M425" s="590"/>
      <c r="N425" s="38" t="str">
        <f>IF(AND('331-CT'!$E$7=TH!H425,OR(L425="331",M425="331")),"331",IF(AND(OR(L425="131",M425="131"),H425='131-CT'!$E$7),"131",""))</f>
        <v/>
      </c>
      <c r="O425" s="38" t="str">
        <f>IF(AND($B425&gt;='111'!$N$11,$B425&lt;='111'!$O$11,OR($L425=$O$7,$M425=$O$7)),"x","")</f>
        <v/>
      </c>
      <c r="P425" s="38" t="str">
        <f>IF(AND($L425=$O$7,$B425&lt;'111'!$N$11),"x","")</f>
        <v/>
      </c>
      <c r="Q425" s="38" t="str">
        <f>IF(AND($M425=$O$7,$B425&lt;'111'!$N$11),"x","")</f>
        <v/>
      </c>
      <c r="R425" s="38" t="str">
        <f>IF(ISERROR(FIND('112'!$M$9,G425,1)),"",IF((AND(FIND('112'!$M$9,G425,1)&gt;=1,$B425&gt;='112'!$N$8,$B425&lt;='112'!$O$8,OR($L425='112'!$I$6,$M425='112'!$I$6))),"x",""))</f>
        <v/>
      </c>
      <c r="S425" s="38" t="str">
        <f>IF(ISERROR(FIND('112'!$M$9,G425,1)),"",IF((AND(LEFT(G425,2)=LEFT('112'!$M$9,2),B425&lt;'112'!$N$8,$L425='112'!$I$6)),"x",""))</f>
        <v/>
      </c>
      <c r="T425" s="38" t="str">
        <f>IF(ISERROR(FIND('112'!$M$9,G425,1)),"",IF((AND(RIGHT(G425,2)=RIGHT('112'!$M$9,2),B425&lt;'112'!$N$8,$M425='112'!$I$6)),"x",""))</f>
        <v/>
      </c>
      <c r="U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38" t="str">
        <f>IF(OR(TH!L425=TH!$V$7,M425=TH!$V$7),"x","")</f>
        <v/>
      </c>
      <c r="W425" s="38" t="str">
        <f>IF(AND(B425&gt;='IN-NX'!$P$3,B425&lt;='IN-NX'!$Q$3,'IN-NX'!$D$7=D425,OR(LEFT(L425,2)="15",AND(LEFT(M425,2)&lt;&gt;"15",LEFT(M425,2)&lt;&gt;"33"))),"x","")</f>
        <v/>
      </c>
      <c r="X425" s="38" t="str">
        <f>IF(AND(OR(LEFT(TH!L425,2)="15",LEFT(TH!M425,2)="15"),'152-CT'!$J$8=TH!F425),"x","")</f>
        <v/>
      </c>
      <c r="Y425" s="38" t="str">
        <f>IF(AND(OR(LEFT(TH!L425,2)="15",LEFT(TH!M425,2)="15"),TK!$E$7=TH!F425),"x","")</f>
        <v/>
      </c>
      <c r="Z425" s="38" t="str">
        <f>IF(AND(B425&lt;=NKC!$N$8,B425&gt;=NKC!$M$8),"x","")</f>
        <v/>
      </c>
      <c r="AA425" s="845"/>
      <c r="AB425" s="581"/>
    </row>
    <row r="426" spans="1:28" s="201" customFormat="1" ht="15.75" customHeight="1">
      <c r="A426" s="846" t="str">
        <f>IF(B426&lt;&gt;"",IF(AND(B426&gt;=_TM1,B426&lt;=_TM2,OR(TH!L426="1111",TH!M426="1111")),TH!D426,""),"")</f>
        <v/>
      </c>
      <c r="B426" s="36" t="str">
        <f t="shared" si="11"/>
        <v/>
      </c>
      <c r="C426" s="187"/>
      <c r="D426" s="187"/>
      <c r="E426" s="187"/>
      <c r="F426" s="39"/>
      <c r="G426" s="854"/>
      <c r="H426" s="189"/>
      <c r="I426" s="249"/>
      <c r="J426" s="249"/>
      <c r="K426" s="589"/>
      <c r="L426" s="590"/>
      <c r="M426" s="590"/>
      <c r="N426" s="38" t="str">
        <f>IF(AND('331-CT'!$E$7=TH!H426,OR(L426="331",M426="331")),"331",IF(AND(OR(L426="131",M426="131"),H426='131-CT'!$E$7),"131",""))</f>
        <v/>
      </c>
      <c r="O426" s="38" t="str">
        <f>IF(AND($B426&gt;='111'!$N$11,$B426&lt;='111'!$O$11,OR($L426=$O$7,$M426=$O$7)),"x","")</f>
        <v/>
      </c>
      <c r="P426" s="38" t="str">
        <f>IF(AND($L426=$O$7,$B426&lt;'111'!$N$11),"x","")</f>
        <v/>
      </c>
      <c r="Q426" s="38" t="str">
        <f>IF(AND($M426=$O$7,$B426&lt;'111'!$N$11),"x","")</f>
        <v/>
      </c>
      <c r="R426" s="38" t="str">
        <f>IF(ISERROR(FIND('112'!$M$9,G426,1)),"",IF((AND(FIND('112'!$M$9,G426,1)&gt;=1,$B426&gt;='112'!$N$8,$B426&lt;='112'!$O$8,OR($L426='112'!$I$6,$M426='112'!$I$6))),"x",""))</f>
        <v/>
      </c>
      <c r="S426" s="38" t="str">
        <f>IF(ISERROR(FIND('112'!$M$9,G426,1)),"",IF((AND(LEFT(G426,2)=LEFT('112'!$M$9,2),B426&lt;'112'!$N$8,$L426='112'!$I$6)),"x",""))</f>
        <v/>
      </c>
      <c r="T426" s="38" t="str">
        <f>IF(ISERROR(FIND('112'!$M$9,G426,1)),"",IF((AND(RIGHT(G426,2)=RIGHT('112'!$M$9,2),B426&lt;'112'!$N$8,$M426='112'!$I$6)),"x",""))</f>
        <v/>
      </c>
      <c r="U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38" t="str">
        <f>IF(OR(TH!L426=TH!$V$7,M426=TH!$V$7),"x","")</f>
        <v/>
      </c>
      <c r="W426" s="38" t="str">
        <f>IF(AND(B426&gt;='IN-NX'!$P$3,B426&lt;='IN-NX'!$Q$3,'IN-NX'!$D$7=D426,OR(LEFT(L426,2)="15",AND(LEFT(M426,2)&lt;&gt;"15",LEFT(M426,2)&lt;&gt;"33"))),"x","")</f>
        <v/>
      </c>
      <c r="X426" s="38" t="str">
        <f>IF(AND(OR(LEFT(TH!L426,2)="15",LEFT(TH!M426,2)="15"),'152-CT'!$J$8=TH!F426),"x","")</f>
        <v/>
      </c>
      <c r="Y426" s="38" t="str">
        <f>IF(AND(OR(LEFT(TH!L426,2)="15",LEFT(TH!M426,2)="15"),TK!$E$7=TH!F426),"x","")</f>
        <v/>
      </c>
      <c r="Z426" s="38" t="str">
        <f>IF(AND(B426&lt;=NKC!$N$8,B426&gt;=NKC!$M$8),"x","")</f>
        <v/>
      </c>
      <c r="AA426" s="845"/>
      <c r="AB426" s="581"/>
    </row>
    <row r="427" spans="1:28" s="201" customFormat="1" ht="15.75" customHeight="1">
      <c r="A427" s="846" t="str">
        <f>IF(B427&lt;&gt;"",IF(AND(B427&gt;=_TM1,B427&lt;=_TM2,OR(TH!L427="1111",TH!M427="1111")),TH!D427,""),"")</f>
        <v/>
      </c>
      <c r="B427" s="36" t="str">
        <f t="shared" si="11"/>
        <v/>
      </c>
      <c r="C427" s="187"/>
      <c r="D427" s="187"/>
      <c r="E427" s="187"/>
      <c r="F427" s="39"/>
      <c r="G427" s="854"/>
      <c r="H427" s="189"/>
      <c r="I427" s="249"/>
      <c r="J427" s="249"/>
      <c r="K427" s="589"/>
      <c r="L427" s="590"/>
      <c r="M427" s="590"/>
      <c r="N427" s="38" t="str">
        <f>IF(AND('331-CT'!$E$7=TH!H427,OR(L427="331",M427="331")),"331",IF(AND(OR(L427="131",M427="131"),H427='131-CT'!$E$7),"131",""))</f>
        <v/>
      </c>
      <c r="O427" s="38" t="str">
        <f>IF(AND($B427&gt;='111'!$N$11,$B427&lt;='111'!$O$11,OR($L427=$O$7,$M427=$O$7)),"x","")</f>
        <v/>
      </c>
      <c r="P427" s="38" t="str">
        <f>IF(AND($L427=$O$7,$B427&lt;'111'!$N$11),"x","")</f>
        <v/>
      </c>
      <c r="Q427" s="38" t="str">
        <f>IF(AND($M427=$O$7,$B427&lt;'111'!$N$11),"x","")</f>
        <v/>
      </c>
      <c r="R427" s="38" t="str">
        <f>IF(ISERROR(FIND('112'!$M$9,G427,1)),"",IF((AND(FIND('112'!$M$9,G427,1)&gt;=1,$B427&gt;='112'!$N$8,$B427&lt;='112'!$O$8,OR($L427='112'!$I$6,$M427='112'!$I$6))),"x",""))</f>
        <v/>
      </c>
      <c r="S427" s="38" t="str">
        <f>IF(ISERROR(FIND('112'!$M$9,G427,1)),"",IF((AND(LEFT(G427,2)=LEFT('112'!$M$9,2),B427&lt;'112'!$N$8,$L427='112'!$I$6)),"x",""))</f>
        <v/>
      </c>
      <c r="T427" s="38" t="str">
        <f>IF(ISERROR(FIND('112'!$M$9,G427,1)),"",IF((AND(RIGHT(G427,2)=RIGHT('112'!$M$9,2),B427&lt;'112'!$N$8,$M427='112'!$I$6)),"x",""))</f>
        <v/>
      </c>
      <c r="U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38" t="str">
        <f>IF(OR(TH!L427=TH!$V$7,M427=TH!$V$7),"x","")</f>
        <v/>
      </c>
      <c r="W427" s="38" t="str">
        <f>IF(AND(B427&gt;='IN-NX'!$P$3,B427&lt;='IN-NX'!$Q$3,'IN-NX'!$D$7=D427,OR(LEFT(L427,2)="15",AND(LEFT(M427,2)&lt;&gt;"15",LEFT(M427,2)&lt;&gt;"33"))),"x","")</f>
        <v/>
      </c>
      <c r="X427" s="38" t="str">
        <f>IF(AND(OR(LEFT(TH!L427,2)="15",LEFT(TH!M427,2)="15"),'152-CT'!$J$8=TH!F427),"x","")</f>
        <v/>
      </c>
      <c r="Y427" s="38" t="str">
        <f>IF(AND(OR(LEFT(TH!L427,2)="15",LEFT(TH!M427,2)="15"),TK!$E$7=TH!F427),"x","")</f>
        <v/>
      </c>
      <c r="Z427" s="38" t="str">
        <f>IF(AND(B427&lt;=NKC!$N$8,B427&gt;=NKC!$M$8),"x","")</f>
        <v/>
      </c>
      <c r="AA427" s="845"/>
      <c r="AB427" s="581"/>
    </row>
    <row r="428" spans="1:28" s="201" customFormat="1" ht="15.75" customHeight="1">
      <c r="A428" s="846" t="str">
        <f>IF(B428&lt;&gt;"",IF(AND(B428&gt;=_TM1,B428&lt;=_TM2,OR(TH!L428="1111",TH!M428="1111")),TH!D428,""),"")</f>
        <v/>
      </c>
      <c r="B428" s="36" t="str">
        <f t="shared" si="11"/>
        <v/>
      </c>
      <c r="C428" s="187"/>
      <c r="D428" s="187"/>
      <c r="E428" s="187"/>
      <c r="F428" s="39"/>
      <c r="G428" s="854"/>
      <c r="H428" s="189"/>
      <c r="I428" s="249"/>
      <c r="J428" s="249"/>
      <c r="K428" s="589"/>
      <c r="L428" s="590"/>
      <c r="M428" s="590"/>
      <c r="N428" s="38" t="str">
        <f>IF(AND('331-CT'!$E$7=TH!H428,OR(L428="331",M428="331")),"331",IF(AND(OR(L428="131",M428="131"),H428='131-CT'!$E$7),"131",""))</f>
        <v/>
      </c>
      <c r="O428" s="38" t="str">
        <f>IF(AND($B428&gt;='111'!$N$11,$B428&lt;='111'!$O$11,OR($L428=$O$7,$M428=$O$7)),"x","")</f>
        <v/>
      </c>
      <c r="P428" s="38" t="str">
        <f>IF(AND($L428=$O$7,$B428&lt;'111'!$N$11),"x","")</f>
        <v/>
      </c>
      <c r="Q428" s="38" t="str">
        <f>IF(AND($M428=$O$7,$B428&lt;'111'!$N$11),"x","")</f>
        <v/>
      </c>
      <c r="R428" s="38" t="str">
        <f>IF(ISERROR(FIND('112'!$M$9,G428,1)),"",IF((AND(FIND('112'!$M$9,G428,1)&gt;=1,$B428&gt;='112'!$N$8,$B428&lt;='112'!$O$8,OR($L428='112'!$I$6,$M428='112'!$I$6))),"x",""))</f>
        <v/>
      </c>
      <c r="S428" s="38" t="str">
        <f>IF(ISERROR(FIND('112'!$M$9,G428,1)),"",IF((AND(LEFT(G428,2)=LEFT('112'!$M$9,2),B428&lt;'112'!$N$8,$L428='112'!$I$6)),"x",""))</f>
        <v/>
      </c>
      <c r="T428" s="38" t="str">
        <f>IF(ISERROR(FIND('112'!$M$9,G428,1)),"",IF((AND(RIGHT(G428,2)=RIGHT('112'!$M$9,2),B428&lt;'112'!$N$8,$M428='112'!$I$6)),"x",""))</f>
        <v/>
      </c>
      <c r="U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38" t="str">
        <f>IF(OR(TH!L428=TH!$V$7,M428=TH!$V$7),"x","")</f>
        <v/>
      </c>
      <c r="W428" s="38" t="str">
        <f>IF(AND(B428&gt;='IN-NX'!$P$3,B428&lt;='IN-NX'!$Q$3,'IN-NX'!$D$7=D428,OR(LEFT(L428,2)="15",AND(LEFT(M428,2)&lt;&gt;"15",LEFT(M428,2)&lt;&gt;"33"))),"x","")</f>
        <v/>
      </c>
      <c r="X428" s="38" t="str">
        <f>IF(AND(OR(LEFT(TH!L428,2)="15",LEFT(TH!M428,2)="15"),'152-CT'!$J$8=TH!F428),"x","")</f>
        <v/>
      </c>
      <c r="Y428" s="38" t="str">
        <f>IF(AND(OR(LEFT(TH!L428,2)="15",LEFT(TH!M428,2)="15"),TK!$E$7=TH!F428),"x","")</f>
        <v/>
      </c>
      <c r="Z428" s="38" t="str">
        <f>IF(AND(B428&lt;=NKC!$N$8,B428&gt;=NKC!$M$8),"x","")</f>
        <v/>
      </c>
      <c r="AA428" s="845"/>
      <c r="AB428" s="581"/>
    </row>
    <row r="429" spans="1:28" s="201" customFormat="1" ht="15.75" customHeight="1">
      <c r="A429" s="846" t="str">
        <f>IF(B429&lt;&gt;"",IF(AND(B429&gt;=_TM1,B429&lt;=_TM2,OR(TH!L429="1111",TH!M429="1111")),TH!D429,""),"")</f>
        <v/>
      </c>
      <c r="B429" s="36" t="str">
        <f t="shared" si="11"/>
        <v/>
      </c>
      <c r="C429" s="187"/>
      <c r="D429" s="187"/>
      <c r="E429" s="187"/>
      <c r="F429" s="39"/>
      <c r="G429" s="854"/>
      <c r="H429" s="189"/>
      <c r="I429" s="249"/>
      <c r="J429" s="249"/>
      <c r="K429" s="589"/>
      <c r="L429" s="590"/>
      <c r="M429" s="590"/>
      <c r="N429" s="38" t="str">
        <f>IF(AND('331-CT'!$E$7=TH!H429,OR(L429="331",M429="331")),"331",IF(AND(OR(L429="131",M429="131"),H429='131-CT'!$E$7),"131",""))</f>
        <v/>
      </c>
      <c r="O429" s="38" t="str">
        <f>IF(AND($B429&gt;='111'!$N$11,$B429&lt;='111'!$O$11,OR($L429=$O$7,$M429=$O$7)),"x","")</f>
        <v/>
      </c>
      <c r="P429" s="38" t="str">
        <f>IF(AND($L429=$O$7,$B429&lt;'111'!$N$11),"x","")</f>
        <v/>
      </c>
      <c r="Q429" s="38" t="str">
        <f>IF(AND($M429=$O$7,$B429&lt;'111'!$N$11),"x","")</f>
        <v/>
      </c>
      <c r="R429" s="38" t="str">
        <f>IF(ISERROR(FIND('112'!$M$9,G429,1)),"",IF((AND(FIND('112'!$M$9,G429,1)&gt;=1,$B429&gt;='112'!$N$8,$B429&lt;='112'!$O$8,OR($L429='112'!$I$6,$M429='112'!$I$6))),"x",""))</f>
        <v/>
      </c>
      <c r="S429" s="38" t="str">
        <f>IF(ISERROR(FIND('112'!$M$9,G429,1)),"",IF((AND(LEFT(G429,2)=LEFT('112'!$M$9,2),B429&lt;'112'!$N$8,$L429='112'!$I$6)),"x",""))</f>
        <v/>
      </c>
      <c r="T429" s="38" t="str">
        <f>IF(ISERROR(FIND('112'!$M$9,G429,1)),"",IF((AND(RIGHT(G429,2)=RIGHT('112'!$M$9,2),B429&lt;'112'!$N$8,$M429='112'!$I$6)),"x",""))</f>
        <v/>
      </c>
      <c r="U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38" t="str">
        <f>IF(OR(TH!L429=TH!$V$7,M429=TH!$V$7),"x","")</f>
        <v/>
      </c>
      <c r="W429" s="38" t="str">
        <f>IF(AND(B429&gt;='IN-NX'!$P$3,B429&lt;='IN-NX'!$Q$3,'IN-NX'!$D$7=D429,OR(LEFT(L429,2)="15",AND(LEFT(M429,2)&lt;&gt;"15",LEFT(M429,2)&lt;&gt;"33"))),"x","")</f>
        <v/>
      </c>
      <c r="X429" s="38" t="str">
        <f>IF(AND(OR(LEFT(TH!L429,2)="15",LEFT(TH!M429,2)="15"),'152-CT'!$J$8=TH!F429),"x","")</f>
        <v/>
      </c>
      <c r="Y429" s="38" t="str">
        <f>IF(AND(OR(LEFT(TH!L429,2)="15",LEFT(TH!M429,2)="15"),TK!$E$7=TH!F429),"x","")</f>
        <v/>
      </c>
      <c r="Z429" s="38" t="str">
        <f>IF(AND(B429&lt;=NKC!$N$8,B429&gt;=NKC!$M$8),"x","")</f>
        <v/>
      </c>
      <c r="AA429" s="845"/>
      <c r="AB429" s="581"/>
    </row>
    <row r="430" spans="1:28" s="201" customFormat="1" ht="15.75" customHeight="1">
      <c r="A430" s="846" t="str">
        <f>IF(B430&lt;&gt;"",IF(AND(B430&gt;=_TM1,B430&lt;=_TM2,OR(TH!L430="1111",TH!M430="1111")),TH!D430,""),"")</f>
        <v/>
      </c>
      <c r="B430" s="36" t="str">
        <f t="shared" si="11"/>
        <v/>
      </c>
      <c r="C430" s="187"/>
      <c r="D430" s="187"/>
      <c r="E430" s="187"/>
      <c r="F430" s="39"/>
      <c r="G430" s="854"/>
      <c r="H430" s="189"/>
      <c r="I430" s="249"/>
      <c r="J430" s="249"/>
      <c r="K430" s="589"/>
      <c r="L430" s="590"/>
      <c r="M430" s="590"/>
      <c r="N430" s="38" t="str">
        <f>IF(AND('331-CT'!$E$7=TH!H430,OR(L430="331",M430="331")),"331",IF(AND(OR(L430="131",M430="131"),H430='131-CT'!$E$7),"131",""))</f>
        <v/>
      </c>
      <c r="O430" s="38" t="str">
        <f>IF(AND($B430&gt;='111'!$N$11,$B430&lt;='111'!$O$11,OR($L430=$O$7,$M430=$O$7)),"x","")</f>
        <v/>
      </c>
      <c r="P430" s="38" t="str">
        <f>IF(AND($L430=$O$7,$B430&lt;'111'!$N$11),"x","")</f>
        <v/>
      </c>
      <c r="Q430" s="38" t="str">
        <f>IF(AND($M430=$O$7,$B430&lt;'111'!$N$11),"x","")</f>
        <v/>
      </c>
      <c r="R430" s="38" t="str">
        <f>IF(ISERROR(FIND('112'!$M$9,G430,1)),"",IF((AND(FIND('112'!$M$9,G430,1)&gt;=1,$B430&gt;='112'!$N$8,$B430&lt;='112'!$O$8,OR($L430='112'!$I$6,$M430='112'!$I$6))),"x",""))</f>
        <v/>
      </c>
      <c r="S430" s="38" t="str">
        <f>IF(ISERROR(FIND('112'!$M$9,G430,1)),"",IF((AND(LEFT(G430,2)=LEFT('112'!$M$9,2),B430&lt;'112'!$N$8,$L430='112'!$I$6)),"x",""))</f>
        <v/>
      </c>
      <c r="T430" s="38" t="str">
        <f>IF(ISERROR(FIND('112'!$M$9,G430,1)),"",IF((AND(RIGHT(G430,2)=RIGHT('112'!$M$9,2),B430&lt;'112'!$N$8,$M430='112'!$I$6)),"x",""))</f>
        <v/>
      </c>
      <c r="U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38" t="str">
        <f>IF(OR(TH!L430=TH!$V$7,M430=TH!$V$7),"x","")</f>
        <v/>
      </c>
      <c r="W430" s="38" t="str">
        <f>IF(AND(B430&gt;='IN-NX'!$P$3,B430&lt;='IN-NX'!$Q$3,'IN-NX'!$D$7=D430,OR(LEFT(L430,2)="15",AND(LEFT(M430,2)&lt;&gt;"15",LEFT(M430,2)&lt;&gt;"33"))),"x","")</f>
        <v/>
      </c>
      <c r="X430" s="38" t="str">
        <f>IF(AND(OR(LEFT(TH!L430,2)="15",LEFT(TH!M430,2)="15"),'152-CT'!$J$8=TH!F430),"x","")</f>
        <v/>
      </c>
      <c r="Y430" s="38" t="str">
        <f>IF(AND(OR(LEFT(TH!L430,2)="15",LEFT(TH!M430,2)="15"),TK!$E$7=TH!F430),"x","")</f>
        <v/>
      </c>
      <c r="Z430" s="38" t="str">
        <f>IF(AND(B430&lt;=NKC!$N$8,B430&gt;=NKC!$M$8),"x","")</f>
        <v/>
      </c>
      <c r="AA430" s="845"/>
      <c r="AB430" s="581"/>
    </row>
    <row r="431" spans="1:28" s="201" customFormat="1" ht="15.75" customHeight="1">
      <c r="A431" s="846" t="str">
        <f>IF(B431&lt;&gt;"",IF(AND(B431&gt;=_TM1,B431&lt;=_TM2,OR(TH!L431="1111",TH!M431="1111")),TH!D431,""),"")</f>
        <v/>
      </c>
      <c r="B431" s="36" t="str">
        <f t="shared" si="11"/>
        <v/>
      </c>
      <c r="C431" s="187"/>
      <c r="D431" s="187"/>
      <c r="E431" s="187"/>
      <c r="F431" s="39"/>
      <c r="G431" s="854"/>
      <c r="H431" s="189"/>
      <c r="I431" s="249"/>
      <c r="J431" s="249"/>
      <c r="K431" s="589"/>
      <c r="L431" s="590"/>
      <c r="M431" s="590"/>
      <c r="N431" s="38" t="str">
        <f>IF(AND('331-CT'!$E$7=TH!H431,OR(L431="331",M431="331")),"331",IF(AND(OR(L431="131",M431="131"),H431='131-CT'!$E$7),"131",""))</f>
        <v/>
      </c>
      <c r="O431" s="38" t="str">
        <f>IF(AND($B431&gt;='111'!$N$11,$B431&lt;='111'!$O$11,OR($L431=$O$7,$M431=$O$7)),"x","")</f>
        <v/>
      </c>
      <c r="P431" s="38" t="str">
        <f>IF(AND($L431=$O$7,$B431&lt;'111'!$N$11),"x","")</f>
        <v/>
      </c>
      <c r="Q431" s="38" t="str">
        <f>IF(AND($M431=$O$7,$B431&lt;'111'!$N$11),"x","")</f>
        <v/>
      </c>
      <c r="R431" s="38" t="str">
        <f>IF(ISERROR(FIND('112'!$M$9,G431,1)),"",IF((AND(FIND('112'!$M$9,G431,1)&gt;=1,$B431&gt;='112'!$N$8,$B431&lt;='112'!$O$8,OR($L431='112'!$I$6,$M431='112'!$I$6))),"x",""))</f>
        <v/>
      </c>
      <c r="S431" s="38" t="str">
        <f>IF(ISERROR(FIND('112'!$M$9,G431,1)),"",IF((AND(LEFT(G431,2)=LEFT('112'!$M$9,2),B431&lt;'112'!$N$8,$L431='112'!$I$6)),"x",""))</f>
        <v/>
      </c>
      <c r="T431" s="38" t="str">
        <f>IF(ISERROR(FIND('112'!$M$9,G431,1)),"",IF((AND(RIGHT(G431,2)=RIGHT('112'!$M$9,2),B431&lt;'112'!$N$8,$M431='112'!$I$6)),"x",""))</f>
        <v/>
      </c>
      <c r="U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38" t="str">
        <f>IF(OR(TH!L431=TH!$V$7,M431=TH!$V$7),"x","")</f>
        <v/>
      </c>
      <c r="W431" s="38" t="str">
        <f>IF(AND(B431&gt;='IN-NX'!$P$3,B431&lt;='IN-NX'!$Q$3,'IN-NX'!$D$7=D431,OR(LEFT(L431,2)="15",AND(LEFT(M431,2)&lt;&gt;"15",LEFT(M431,2)&lt;&gt;"33"))),"x","")</f>
        <v/>
      </c>
      <c r="X431" s="38" t="str">
        <f>IF(AND(OR(LEFT(TH!L431,2)="15",LEFT(TH!M431,2)="15"),'152-CT'!$J$8=TH!F431),"x","")</f>
        <v/>
      </c>
      <c r="Y431" s="38" t="str">
        <f>IF(AND(OR(LEFT(TH!L431,2)="15",LEFT(TH!M431,2)="15"),TK!$E$7=TH!F431),"x","")</f>
        <v/>
      </c>
      <c r="Z431" s="38" t="str">
        <f>IF(AND(B431&lt;=NKC!$N$8,B431&gt;=NKC!$M$8),"x","")</f>
        <v/>
      </c>
      <c r="AA431" s="845"/>
      <c r="AB431" s="581"/>
    </row>
    <row r="432" spans="1:28" s="201" customFormat="1" ht="15.75" customHeight="1">
      <c r="A432" s="846" t="str">
        <f>IF(B432&lt;&gt;"",IF(AND(B432&gt;=_TM1,B432&lt;=_TM2,OR(TH!L432="1111",TH!M432="1111")),TH!D432,""),"")</f>
        <v/>
      </c>
      <c r="B432" s="36" t="str">
        <f t="shared" si="11"/>
        <v/>
      </c>
      <c r="C432" s="187"/>
      <c r="D432" s="187"/>
      <c r="E432" s="187"/>
      <c r="F432" s="39"/>
      <c r="G432" s="854"/>
      <c r="H432" s="189"/>
      <c r="I432" s="249"/>
      <c r="J432" s="249"/>
      <c r="K432" s="589"/>
      <c r="L432" s="590"/>
      <c r="M432" s="590"/>
      <c r="N432" s="38" t="str">
        <f>IF(AND('331-CT'!$E$7=TH!H432,OR(L432="331",M432="331")),"331",IF(AND(OR(L432="131",M432="131"),H432='131-CT'!$E$7),"131",""))</f>
        <v/>
      </c>
      <c r="O432" s="38" t="str">
        <f>IF(AND($B432&gt;='111'!$N$11,$B432&lt;='111'!$O$11,OR($L432=$O$7,$M432=$O$7)),"x","")</f>
        <v/>
      </c>
      <c r="P432" s="38" t="str">
        <f>IF(AND($L432=$O$7,$B432&lt;'111'!$N$11),"x","")</f>
        <v/>
      </c>
      <c r="Q432" s="38" t="str">
        <f>IF(AND($M432=$O$7,$B432&lt;'111'!$N$11),"x","")</f>
        <v/>
      </c>
      <c r="R432" s="38" t="str">
        <f>IF(ISERROR(FIND('112'!$M$9,G432,1)),"",IF((AND(FIND('112'!$M$9,G432,1)&gt;=1,$B432&gt;='112'!$N$8,$B432&lt;='112'!$O$8,OR($L432='112'!$I$6,$M432='112'!$I$6))),"x",""))</f>
        <v/>
      </c>
      <c r="S432" s="38" t="str">
        <f>IF(ISERROR(FIND('112'!$M$9,G432,1)),"",IF((AND(LEFT(G432,2)=LEFT('112'!$M$9,2),B432&lt;'112'!$N$8,$L432='112'!$I$6)),"x",""))</f>
        <v/>
      </c>
      <c r="T432" s="38" t="str">
        <f>IF(ISERROR(FIND('112'!$M$9,G432,1)),"",IF((AND(RIGHT(G432,2)=RIGHT('112'!$M$9,2),B432&lt;'112'!$N$8,$M432='112'!$I$6)),"x",""))</f>
        <v/>
      </c>
      <c r="U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38" t="str">
        <f>IF(OR(TH!L432=TH!$V$7,M432=TH!$V$7),"x","")</f>
        <v/>
      </c>
      <c r="W432" s="38" t="str">
        <f>IF(AND(B432&gt;='IN-NX'!$P$3,B432&lt;='IN-NX'!$Q$3,'IN-NX'!$D$7=D432,OR(LEFT(L432,2)="15",AND(LEFT(M432,2)&lt;&gt;"15",LEFT(M432,2)&lt;&gt;"33"))),"x","")</f>
        <v/>
      </c>
      <c r="X432" s="38" t="str">
        <f>IF(AND(OR(LEFT(TH!L432,2)="15",LEFT(TH!M432,2)="15"),'152-CT'!$J$8=TH!F432),"x","")</f>
        <v/>
      </c>
      <c r="Y432" s="38" t="str">
        <f>IF(AND(OR(LEFT(TH!L432,2)="15",LEFT(TH!M432,2)="15"),TK!$E$7=TH!F432),"x","")</f>
        <v/>
      </c>
      <c r="Z432" s="38" t="str">
        <f>IF(AND(B432&lt;=NKC!$N$8,B432&gt;=NKC!$M$8),"x","")</f>
        <v/>
      </c>
      <c r="AA432" s="845"/>
      <c r="AB432" s="581"/>
    </row>
    <row r="433" spans="1:30" s="201" customFormat="1" ht="15.75" customHeight="1">
      <c r="A433" s="846" t="str">
        <f>IF(B433&lt;&gt;"",IF(AND(B433&gt;=_TM1,B433&lt;=_TM2,OR(TH!L433="1111",TH!M433="1111")),TH!D433,""),"")</f>
        <v/>
      </c>
      <c r="B433" s="36" t="str">
        <f t="shared" si="11"/>
        <v/>
      </c>
      <c r="C433" s="187"/>
      <c r="D433" s="187"/>
      <c r="E433" s="187"/>
      <c r="F433" s="39"/>
      <c r="G433" s="854"/>
      <c r="H433" s="189"/>
      <c r="I433" s="249"/>
      <c r="J433" s="249"/>
      <c r="K433" s="589"/>
      <c r="L433" s="590"/>
      <c r="M433" s="590"/>
      <c r="N433" s="38" t="str">
        <f>IF(AND('331-CT'!$E$7=TH!H433,OR(L433="331",M433="331")),"331",IF(AND(OR(L433="131",M433="131"),H433='131-CT'!$E$7),"131",""))</f>
        <v/>
      </c>
      <c r="O433" s="38" t="str">
        <f>IF(AND($B433&gt;='111'!$N$11,$B433&lt;='111'!$O$11,OR($L433=$O$7,$M433=$O$7)),"x","")</f>
        <v/>
      </c>
      <c r="P433" s="38" t="str">
        <f>IF(AND($L433=$O$7,$B433&lt;'111'!$N$11),"x","")</f>
        <v/>
      </c>
      <c r="Q433" s="38" t="str">
        <f>IF(AND($M433=$O$7,$B433&lt;'111'!$N$11),"x","")</f>
        <v/>
      </c>
      <c r="R433" s="38" t="str">
        <f>IF(ISERROR(FIND('112'!$M$9,G433,1)),"",IF((AND(FIND('112'!$M$9,G433,1)&gt;=1,$B433&gt;='112'!$N$8,$B433&lt;='112'!$O$8,OR($L433='112'!$I$6,$M433='112'!$I$6))),"x",""))</f>
        <v/>
      </c>
      <c r="S433" s="38" t="str">
        <f>IF(ISERROR(FIND('112'!$M$9,G433,1)),"",IF((AND(LEFT(G433,2)=LEFT('112'!$M$9,2),B433&lt;'112'!$N$8,$L433='112'!$I$6)),"x",""))</f>
        <v/>
      </c>
      <c r="T433" s="38" t="str">
        <f>IF(ISERROR(FIND('112'!$M$9,G433,1)),"",IF((AND(RIGHT(G433,2)=RIGHT('112'!$M$9,2),B433&lt;'112'!$N$8,$M433='112'!$I$6)),"x",""))</f>
        <v/>
      </c>
      <c r="U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38" t="str">
        <f>IF(OR(TH!L433=TH!$V$7,M433=TH!$V$7),"x","")</f>
        <v/>
      </c>
      <c r="W433" s="38" t="str">
        <f>IF(AND(B433&gt;='IN-NX'!$P$3,B433&lt;='IN-NX'!$Q$3,'IN-NX'!$D$7=D433,OR(LEFT(L433,2)="15",AND(LEFT(M433,2)&lt;&gt;"15",LEFT(M433,2)&lt;&gt;"33"))),"x","")</f>
        <v/>
      </c>
      <c r="X433" s="38" t="str">
        <f>IF(AND(OR(LEFT(TH!L433,2)="15",LEFT(TH!M433,2)="15"),'152-CT'!$J$8=TH!F433),"x","")</f>
        <v/>
      </c>
      <c r="Y433" s="38" t="str">
        <f>IF(AND(OR(LEFT(TH!L433,2)="15",LEFT(TH!M433,2)="15"),TK!$E$7=TH!F433),"x","")</f>
        <v/>
      </c>
      <c r="Z433" s="38" t="str">
        <f>IF(AND(B433&lt;=NKC!$N$8,B433&gt;=NKC!$M$8),"x","")</f>
        <v/>
      </c>
      <c r="AA433" s="845"/>
      <c r="AB433" s="581"/>
    </row>
    <row r="434" spans="1:30" s="201" customFormat="1" ht="15.75" customHeight="1">
      <c r="A434" s="846" t="str">
        <f>IF(B434&lt;&gt;"",IF(AND(B434&gt;=_TM1,B434&lt;=_TM2,OR(TH!L434="1111",TH!M434="1111")),TH!D434,""),"")</f>
        <v/>
      </c>
      <c r="B434" s="36" t="str">
        <f t="shared" si="11"/>
        <v/>
      </c>
      <c r="C434" s="187"/>
      <c r="D434" s="187"/>
      <c r="E434" s="187"/>
      <c r="F434" s="39"/>
      <c r="G434" s="854"/>
      <c r="H434" s="189"/>
      <c r="I434" s="249"/>
      <c r="J434" s="249"/>
      <c r="K434" s="589"/>
      <c r="L434" s="590"/>
      <c r="M434" s="590"/>
      <c r="N434" s="38" t="str">
        <f>IF(AND('331-CT'!$E$7=TH!H434,OR(L434="331",M434="331")),"331",IF(AND(OR(L434="131",M434="131"),H434='131-CT'!$E$7),"131",""))</f>
        <v/>
      </c>
      <c r="O434" s="38" t="str">
        <f>IF(AND($B434&gt;='111'!$N$11,$B434&lt;='111'!$O$11,OR($L434=$O$7,$M434=$O$7)),"x","")</f>
        <v/>
      </c>
      <c r="P434" s="38" t="str">
        <f>IF(AND($L434=$O$7,$B434&lt;'111'!$N$11),"x","")</f>
        <v/>
      </c>
      <c r="Q434" s="38" t="str">
        <f>IF(AND($M434=$O$7,$B434&lt;'111'!$N$11),"x","")</f>
        <v/>
      </c>
      <c r="R434" s="38" t="str">
        <f>IF(ISERROR(FIND('112'!$M$9,G434,1)),"",IF((AND(FIND('112'!$M$9,G434,1)&gt;=1,$B434&gt;='112'!$N$8,$B434&lt;='112'!$O$8,OR($L434='112'!$I$6,$M434='112'!$I$6))),"x",""))</f>
        <v/>
      </c>
      <c r="S434" s="38" t="str">
        <f>IF(ISERROR(FIND('112'!$M$9,G434,1)),"",IF((AND(LEFT(G434,2)=LEFT('112'!$M$9,2),B434&lt;'112'!$N$8,$L434='112'!$I$6)),"x",""))</f>
        <v/>
      </c>
      <c r="T434" s="38" t="str">
        <f>IF(ISERROR(FIND('112'!$M$9,G434,1)),"",IF((AND(RIGHT(G434,2)=RIGHT('112'!$M$9,2),B434&lt;'112'!$N$8,$M434='112'!$I$6)),"x",""))</f>
        <v/>
      </c>
      <c r="U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38" t="str">
        <f>IF(OR(TH!L434=TH!$V$7,M434=TH!$V$7),"x","")</f>
        <v/>
      </c>
      <c r="W434" s="38" t="str">
        <f>IF(AND(B434&gt;='IN-NX'!$P$3,B434&lt;='IN-NX'!$Q$3,'IN-NX'!$D$7=D434,OR(LEFT(L434,2)="15",AND(LEFT(M434,2)&lt;&gt;"15",LEFT(M434,2)&lt;&gt;"33"))),"x","")</f>
        <v/>
      </c>
      <c r="X434" s="38" t="str">
        <f>IF(AND(OR(LEFT(TH!L434,2)="15",LEFT(TH!M434,2)="15"),'152-CT'!$J$8=TH!F434),"x","")</f>
        <v/>
      </c>
      <c r="Y434" s="38" t="str">
        <f>IF(AND(OR(LEFT(TH!L434,2)="15",LEFT(TH!M434,2)="15"),TK!$E$7=TH!F434),"x","")</f>
        <v/>
      </c>
      <c r="Z434" s="38" t="str">
        <f>IF(AND(B434&lt;=NKC!$N$8,B434&gt;=NKC!$M$8),"x","")</f>
        <v/>
      </c>
      <c r="AA434" s="845"/>
      <c r="AB434" s="581"/>
    </row>
    <row r="435" spans="1:30" s="201" customFormat="1" ht="15.75" customHeight="1">
      <c r="A435" s="846" t="str">
        <f>IF(B435&lt;&gt;"",IF(AND(B435&gt;=_TM1,B435&lt;=_TM2,OR(TH!L435="1111",TH!M435="1111")),TH!D435,""),"")</f>
        <v/>
      </c>
      <c r="B435" s="36" t="str">
        <f t="shared" si="11"/>
        <v/>
      </c>
      <c r="C435" s="187"/>
      <c r="D435" s="187"/>
      <c r="E435" s="187"/>
      <c r="F435" s="39"/>
      <c r="G435" s="854"/>
      <c r="H435" s="189"/>
      <c r="I435" s="249"/>
      <c r="J435" s="249"/>
      <c r="K435" s="589"/>
      <c r="L435" s="590"/>
      <c r="M435" s="590"/>
      <c r="N435" s="38" t="str">
        <f>IF(AND('331-CT'!$E$7=TH!H435,OR(L435="331",M435="331")),"331",IF(AND(OR(L435="131",M435="131"),H435='131-CT'!$E$7),"131",""))</f>
        <v/>
      </c>
      <c r="O435" s="38" t="str">
        <f>IF(AND($B435&gt;='111'!$N$11,$B435&lt;='111'!$O$11,OR($L435=$O$7,$M435=$O$7)),"x","")</f>
        <v/>
      </c>
      <c r="P435" s="38" t="str">
        <f>IF(AND($L435=$O$7,$B435&lt;'111'!$N$11),"x","")</f>
        <v/>
      </c>
      <c r="Q435" s="38" t="str">
        <f>IF(AND($M435=$O$7,$B435&lt;'111'!$N$11),"x","")</f>
        <v/>
      </c>
      <c r="R435" s="38" t="str">
        <f>IF(ISERROR(FIND('112'!$M$9,G435,1)),"",IF((AND(FIND('112'!$M$9,G435,1)&gt;=1,$B435&gt;='112'!$N$8,$B435&lt;='112'!$O$8,OR($L435='112'!$I$6,$M435='112'!$I$6))),"x",""))</f>
        <v/>
      </c>
      <c r="S435" s="38" t="str">
        <f>IF(ISERROR(FIND('112'!$M$9,G435,1)),"",IF((AND(LEFT(G435,2)=LEFT('112'!$M$9,2),B435&lt;'112'!$N$8,$L435='112'!$I$6)),"x",""))</f>
        <v/>
      </c>
      <c r="T435" s="38" t="str">
        <f>IF(ISERROR(FIND('112'!$M$9,G435,1)),"",IF((AND(RIGHT(G435,2)=RIGHT('112'!$M$9,2),B435&lt;'112'!$N$8,$M435='112'!$I$6)),"x",""))</f>
        <v/>
      </c>
      <c r="U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38" t="str">
        <f>IF(OR(TH!L435=TH!$V$7,M435=TH!$V$7),"x","")</f>
        <v/>
      </c>
      <c r="W435" s="38" t="str">
        <f>IF(AND(B435&gt;='IN-NX'!$P$3,B435&lt;='IN-NX'!$Q$3,'IN-NX'!$D$7=D435,OR(LEFT(L435,2)="15",AND(LEFT(M435,2)&lt;&gt;"15",LEFT(M435,2)&lt;&gt;"33"))),"x","")</f>
        <v/>
      </c>
      <c r="X435" s="38" t="str">
        <f>IF(AND(OR(LEFT(TH!L435,2)="15",LEFT(TH!M435,2)="15"),'152-CT'!$J$8=TH!F435),"x","")</f>
        <v/>
      </c>
      <c r="Y435" s="38" t="str">
        <f>IF(AND(OR(LEFT(TH!L435,2)="15",LEFT(TH!M435,2)="15"),TK!$E$7=TH!F435),"x","")</f>
        <v/>
      </c>
      <c r="Z435" s="38" t="str">
        <f>IF(AND(B435&lt;=NKC!$N$8,B435&gt;=NKC!$M$8),"x","")</f>
        <v/>
      </c>
      <c r="AA435" s="845"/>
      <c r="AB435" s="581"/>
    </row>
    <row r="436" spans="1:30" s="201" customFormat="1" ht="15.75" customHeight="1">
      <c r="A436" s="846" t="str">
        <f>IF(B436&lt;&gt;"",IF(AND(B436&gt;=_TM1,B436&lt;=_TM2,OR(TH!L436="1111",TH!M436="1111")),TH!D436,""),"")</f>
        <v/>
      </c>
      <c r="B436" s="36" t="str">
        <f t="shared" si="11"/>
        <v/>
      </c>
      <c r="C436" s="187"/>
      <c r="D436" s="187"/>
      <c r="E436" s="187"/>
      <c r="F436" s="39"/>
      <c r="G436" s="854"/>
      <c r="H436" s="189"/>
      <c r="I436" s="249"/>
      <c r="J436" s="249"/>
      <c r="K436" s="589"/>
      <c r="L436" s="590"/>
      <c r="M436" s="590"/>
      <c r="N436" s="38" t="str">
        <f>IF(AND('331-CT'!$E$7=TH!H436,OR(L436="331",M436="331")),"331",IF(AND(OR(L436="131",M436="131"),H436='131-CT'!$E$7),"131",""))</f>
        <v/>
      </c>
      <c r="O436" s="38" t="str">
        <f>IF(AND($B436&gt;='111'!$N$11,$B436&lt;='111'!$O$11,OR($L436=$O$7,$M436=$O$7)),"x","")</f>
        <v/>
      </c>
      <c r="P436" s="38" t="str">
        <f>IF(AND($L436=$O$7,$B436&lt;'111'!$N$11),"x","")</f>
        <v/>
      </c>
      <c r="Q436" s="38" t="str">
        <f>IF(AND($M436=$O$7,$B436&lt;'111'!$N$11),"x","")</f>
        <v/>
      </c>
      <c r="R436" s="38" t="str">
        <f>IF(ISERROR(FIND('112'!$M$9,G436,1)),"",IF((AND(FIND('112'!$M$9,G436,1)&gt;=1,$B436&gt;='112'!$N$8,$B436&lt;='112'!$O$8,OR($L436='112'!$I$6,$M436='112'!$I$6))),"x",""))</f>
        <v/>
      </c>
      <c r="S436" s="38" t="str">
        <f>IF(ISERROR(FIND('112'!$M$9,G436,1)),"",IF((AND(LEFT(G436,2)=LEFT('112'!$M$9,2),B436&lt;'112'!$N$8,$L436='112'!$I$6)),"x",""))</f>
        <v/>
      </c>
      <c r="T436" s="38" t="str">
        <f>IF(ISERROR(FIND('112'!$M$9,G436,1)),"",IF((AND(RIGHT(G436,2)=RIGHT('112'!$M$9,2),B436&lt;'112'!$N$8,$M436='112'!$I$6)),"x",""))</f>
        <v/>
      </c>
      <c r="U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38" t="str">
        <f>IF(OR(TH!L436=TH!$V$7,M436=TH!$V$7),"x","")</f>
        <v/>
      </c>
      <c r="W436" s="38" t="str">
        <f>IF(AND(B436&gt;='IN-NX'!$P$3,B436&lt;='IN-NX'!$Q$3,'IN-NX'!$D$7=D436,OR(LEFT(L436,2)="15",AND(LEFT(M436,2)&lt;&gt;"15",LEFT(M436,2)&lt;&gt;"33"))),"x","")</f>
        <v/>
      </c>
      <c r="X436" s="38" t="str">
        <f>IF(AND(OR(LEFT(TH!L436,2)="15",LEFT(TH!M436,2)="15"),'152-CT'!$J$8=TH!F436),"x","")</f>
        <v/>
      </c>
      <c r="Y436" s="38" t="str">
        <f>IF(AND(OR(LEFT(TH!L436,2)="15",LEFT(TH!M436,2)="15"),TK!$E$7=TH!F436),"x","")</f>
        <v/>
      </c>
      <c r="Z436" s="38" t="str">
        <f>IF(AND(B436&lt;=NKC!$N$8,B436&gt;=NKC!$M$8),"x","")</f>
        <v/>
      </c>
      <c r="AA436" s="845"/>
      <c r="AB436" s="581"/>
    </row>
    <row r="437" spans="1:30" s="201" customFormat="1" ht="15.75" customHeight="1">
      <c r="A437" s="846" t="str">
        <f>IF(B437&lt;&gt;"",IF(AND(B437&gt;=_TM1,B437&lt;=_TM2,OR(TH!L437="1111",TH!M437="1111")),TH!D437,""),"")</f>
        <v/>
      </c>
      <c r="B437" s="36" t="str">
        <f>IF(C437&lt;&gt;"",MONTH(C437),"")</f>
        <v/>
      </c>
      <c r="C437" s="187"/>
      <c r="D437" s="187"/>
      <c r="E437" s="187"/>
      <c r="F437" s="188"/>
      <c r="G437" s="854"/>
      <c r="H437" s="189"/>
      <c r="I437" s="249"/>
      <c r="J437" s="249"/>
      <c r="K437" s="589"/>
      <c r="L437" s="590"/>
      <c r="M437" s="590"/>
      <c r="N437" s="50" t="str">
        <f>IF(AND('331-CT'!$E$7=TH!H437,OR(L437="331",M437="331")),"331",IF(AND(OR(L437="131",M437="131"),H437='131-CT'!$E$7),"131",""))</f>
        <v/>
      </c>
      <c r="O437" s="50" t="str">
        <f>IF(AND($B437&gt;='111'!$N$11,$B437&lt;='111'!$O$11,OR($L437=$O$7,$M437=$O$7)),"x","")</f>
        <v/>
      </c>
      <c r="P437" s="50" t="str">
        <f>IF(AND($L437=$O$7,$B437&lt;'111'!$N$11),"x","")</f>
        <v/>
      </c>
      <c r="Q437" s="50" t="str">
        <f>IF(AND($M437=$O$7,$B437&lt;'111'!$N$11),"x","")</f>
        <v/>
      </c>
      <c r="R437" s="50" t="str">
        <f>IF(ISERROR(FIND('112'!$M$9,G437,1)),"",IF((AND(FIND('112'!$M$9,G437,1)&gt;=1,$B437&gt;='112'!$N$8,$B437&lt;='112'!$O$8,OR($L437='112'!$I$6,$M437='112'!$I$6))),"x",""))</f>
        <v/>
      </c>
      <c r="S437" s="50" t="str">
        <f>IF(ISERROR(FIND('112'!$M$9,G437,1)),"",IF((AND(LEFT(G437,2)=LEFT('112'!$M$9,2),B437&lt;'112'!$N$8,$L437='112'!$I$6)),"x",""))</f>
        <v/>
      </c>
      <c r="T437" s="50" t="str">
        <f>IF(ISERROR(FIND('112'!$M$9,G437,1)),"",IF((AND(RIGHT(G437,2)=RIGHT('112'!$M$9,2),B437&lt;'112'!$N$8,$M437='112'!$I$6)),"x",""))</f>
        <v/>
      </c>
      <c r="U437" s="50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0" t="str">
        <f>IF(OR(TH!L437=TH!$V$7,M437=TH!$V$7),"x","")</f>
        <v/>
      </c>
      <c r="W437" s="50" t="str">
        <f>IF(AND(B437&gt;='IN-NX'!$P$3,B437&lt;='IN-NX'!$Q$3,'IN-NX'!$D$7=D437,OR(LEFT(L437,2)="15",AND(LEFT(M437,2)&lt;&gt;"15",LEFT(M437,2)&lt;&gt;"33"))),"x","")</f>
        <v/>
      </c>
      <c r="X437" s="50" t="str">
        <f>IF(AND(OR(LEFT(TH!L437,2)="15",LEFT(TH!M437,2)="15"),'152-CT'!$J$8=TH!F437),"x","")</f>
        <v/>
      </c>
      <c r="Y437" s="50" t="str">
        <f>IF(AND(OR(LEFT(TH!L437,2)="15",LEFT(TH!M437,2)="15"),TK!$E$7=TH!F437),"x","")</f>
        <v/>
      </c>
      <c r="Z437" s="50" t="str">
        <f>IF(AND(B437&lt;=NKC!$N$8,B437&gt;=NKC!$M$8),"x","")</f>
        <v/>
      </c>
      <c r="AA437" s="845"/>
      <c r="AB437" s="581"/>
      <c r="AD437" s="581"/>
    </row>
    <row r="438" spans="1:30" s="201" customFormat="1" ht="15.75" customHeight="1">
      <c r="A438" s="846" t="str">
        <f>IF(B438&lt;&gt;"",IF(AND(B438&gt;=_TM1,B438&lt;=_TM2,OR(TH!L438="1111",TH!M438="1111")),TH!D438,""),"")</f>
        <v/>
      </c>
      <c r="B438" s="36" t="str">
        <f t="shared" ref="B438:B463" si="12">IF(C438&lt;&gt;"",MONTH(C438),"")</f>
        <v/>
      </c>
      <c r="C438" s="187"/>
      <c r="D438" s="187"/>
      <c r="E438" s="187"/>
      <c r="F438" s="39"/>
      <c r="G438" s="854"/>
      <c r="H438" s="189"/>
      <c r="I438" s="249"/>
      <c r="J438" s="249"/>
      <c r="K438" s="589"/>
      <c r="L438" s="590"/>
      <c r="M438" s="590"/>
      <c r="N438" s="38" t="str">
        <f>IF(AND('331-CT'!$E$7=TH!H438,OR(L438="331",M438="331")),"331",IF(AND(OR(L438="131",M438="131"),H438='131-CT'!$E$7),"131",""))</f>
        <v/>
      </c>
      <c r="O438" s="38" t="str">
        <f>IF(AND($B438&gt;='111'!$N$11,$B438&lt;='111'!$O$11,OR($L438=$O$7,$M438=$O$7)),"x","")</f>
        <v/>
      </c>
      <c r="P438" s="38" t="str">
        <f>IF(AND($L438=$O$7,$B438&lt;'111'!$N$11),"x","")</f>
        <v/>
      </c>
      <c r="Q438" s="38" t="str">
        <f>IF(AND($M438=$O$7,$B438&lt;'111'!$N$11),"x","")</f>
        <v/>
      </c>
      <c r="R438" s="38" t="str">
        <f>IF(ISERROR(FIND('112'!$M$9,G438,1)),"",IF((AND(FIND('112'!$M$9,G438,1)&gt;=1,$B438&gt;='112'!$N$8,$B438&lt;='112'!$O$8,OR($L438='112'!$I$6,$M438='112'!$I$6))),"x",""))</f>
        <v/>
      </c>
      <c r="S438" s="38" t="str">
        <f>IF(ISERROR(FIND('112'!$M$9,G438,1)),"",IF((AND(LEFT(G438,2)=LEFT('112'!$M$9,2),B438&lt;'112'!$N$8,$L438='112'!$I$6)),"x",""))</f>
        <v/>
      </c>
      <c r="T438" s="38" t="str">
        <f>IF(ISERROR(FIND('112'!$M$9,G438,1)),"",IF((AND(RIGHT(G438,2)=RIGHT('112'!$M$9,2),B438&lt;'112'!$N$8,$M438='112'!$I$6)),"x",""))</f>
        <v/>
      </c>
      <c r="U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38" t="str">
        <f>IF(OR(TH!L438=TH!$V$7,M438=TH!$V$7),"x","")</f>
        <v/>
      </c>
      <c r="W438" s="38" t="str">
        <f>IF(AND(B438&gt;='IN-NX'!$P$3,B438&lt;='IN-NX'!$Q$3,'IN-NX'!$D$7=D438,OR(LEFT(L438,2)="15",AND(LEFT(M438,2)&lt;&gt;"15",LEFT(M438,2)&lt;&gt;"33"))),"x","")</f>
        <v/>
      </c>
      <c r="X438" s="38" t="str">
        <f>IF(AND(OR(LEFT(TH!L438,2)="15",LEFT(TH!M438,2)="15"),'152-CT'!$J$8=TH!F438),"x","")</f>
        <v/>
      </c>
      <c r="Y438" s="38" t="str">
        <f>IF(AND(OR(LEFT(TH!L438,2)="15",LEFT(TH!M438,2)="15"),TK!$E$7=TH!F438),"x","")</f>
        <v/>
      </c>
      <c r="Z438" s="38" t="str">
        <f>IF(AND(B438&lt;=NKC!$N$8,B438&gt;=NKC!$M$8),"x","")</f>
        <v/>
      </c>
      <c r="AA438" s="845"/>
      <c r="AB438" s="581"/>
    </row>
    <row r="439" spans="1:30" s="201" customFormat="1" ht="15.75" customHeight="1">
      <c r="A439" s="846" t="str">
        <f>IF(B439&lt;&gt;"",IF(AND(B439&gt;=_TM1,B439&lt;=_TM2,OR(TH!L439="1111",TH!M439="1111")),TH!D439,""),"")</f>
        <v/>
      </c>
      <c r="B439" s="36" t="str">
        <f t="shared" si="12"/>
        <v/>
      </c>
      <c r="C439" s="187"/>
      <c r="D439" s="187"/>
      <c r="E439" s="187"/>
      <c r="F439" s="188"/>
      <c r="G439" s="854"/>
      <c r="H439" s="189"/>
      <c r="I439" s="249"/>
      <c r="J439" s="249"/>
      <c r="K439" s="589"/>
      <c r="L439" s="590"/>
      <c r="M439" s="590"/>
      <c r="N439" s="38" t="str">
        <f>IF(AND('331-CT'!$E$7=TH!H439,OR(L439="331",M439="331")),"331",IF(AND(OR(L439="131",M439="131"),H439='131-CT'!$E$7),"131",""))</f>
        <v/>
      </c>
      <c r="O439" s="38" t="str">
        <f>IF(AND($B439&gt;='111'!$N$11,$B439&lt;='111'!$O$11,OR($L439=$O$7,$M439=$O$7)),"x","")</f>
        <v/>
      </c>
      <c r="P439" s="38" t="str">
        <f>IF(AND($L439=$O$7,$B439&lt;'111'!$N$11),"x","")</f>
        <v/>
      </c>
      <c r="Q439" s="38" t="str">
        <f>IF(AND($M439=$O$7,$B439&lt;'111'!$N$11),"x","")</f>
        <v/>
      </c>
      <c r="R439" s="38" t="str">
        <f>IF(ISERROR(FIND('112'!$M$9,G439,1)),"",IF((AND(FIND('112'!$M$9,G439,1)&gt;=1,$B439&gt;='112'!$N$8,$B439&lt;='112'!$O$8,OR($L439='112'!$I$6,$M439='112'!$I$6))),"x",""))</f>
        <v/>
      </c>
      <c r="S439" s="38" t="str">
        <f>IF(ISERROR(FIND('112'!$M$9,G439,1)),"",IF((AND(LEFT(G439,2)=LEFT('112'!$M$9,2),B439&lt;'112'!$N$8,$L439='112'!$I$6)),"x",""))</f>
        <v/>
      </c>
      <c r="T439" s="38" t="str">
        <f>IF(ISERROR(FIND('112'!$M$9,G439,1)),"",IF((AND(RIGHT(G439,2)=RIGHT('112'!$M$9,2),B439&lt;'112'!$N$8,$M439='112'!$I$6)),"x",""))</f>
        <v/>
      </c>
      <c r="U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38" t="str">
        <f>IF(OR(TH!L439=TH!$V$7,M439=TH!$V$7),"x","")</f>
        <v/>
      </c>
      <c r="W439" s="38" t="str">
        <f>IF(AND(B439&gt;='IN-NX'!$P$3,B439&lt;='IN-NX'!$Q$3,'IN-NX'!$D$7=D439,OR(LEFT(L439,2)="15",AND(LEFT(M439,2)&lt;&gt;"15",LEFT(M439,2)&lt;&gt;"33"))),"x","")</f>
        <v/>
      </c>
      <c r="X439" s="38" t="str">
        <f>IF(AND(OR(LEFT(TH!L439,2)="15",LEFT(TH!M439,2)="15"),'152-CT'!$J$8=TH!F439),"x","")</f>
        <v/>
      </c>
      <c r="Y439" s="38" t="str">
        <f>IF(AND(OR(LEFT(TH!L439,2)="15",LEFT(TH!M439,2)="15"),TK!$E$7=TH!F439),"x","")</f>
        <v/>
      </c>
      <c r="Z439" s="38" t="str">
        <f>IF(AND(B439&lt;=NKC!$N$8,B439&gt;=NKC!$M$8),"x","")</f>
        <v/>
      </c>
      <c r="AA439" s="845"/>
      <c r="AB439" s="581"/>
    </row>
    <row r="440" spans="1:30" s="201" customFormat="1" ht="15.75" customHeight="1">
      <c r="A440" s="846" t="str">
        <f>IF(B440&lt;&gt;"",IF(AND(B440&gt;=_TM1,B440&lt;=_TM2,OR(TH!L440="1111",TH!M440="1111")),TH!D440,""),"")</f>
        <v/>
      </c>
      <c r="B440" s="36" t="str">
        <f t="shared" si="12"/>
        <v/>
      </c>
      <c r="C440" s="187"/>
      <c r="D440" s="187"/>
      <c r="E440" s="187"/>
      <c r="F440" s="188"/>
      <c r="G440" s="854"/>
      <c r="H440" s="189"/>
      <c r="I440" s="249"/>
      <c r="J440" s="249"/>
      <c r="K440" s="589"/>
      <c r="L440" s="590"/>
      <c r="M440" s="590"/>
      <c r="N440" s="38" t="str">
        <f>IF(AND('331-CT'!$E$7=TH!H440,OR(L440="331",M440="331")),"331",IF(AND(OR(L440="131",M440="131"),H440='131-CT'!$E$7),"131",""))</f>
        <v/>
      </c>
      <c r="O440" s="38" t="str">
        <f>IF(AND($B440&gt;='111'!$N$11,$B440&lt;='111'!$O$11,OR($L440=$O$7,$M440=$O$7)),"x","")</f>
        <v/>
      </c>
      <c r="P440" s="38" t="str">
        <f>IF(AND($L440=$O$7,$B440&lt;'111'!$N$11),"x","")</f>
        <v/>
      </c>
      <c r="Q440" s="38" t="str">
        <f>IF(AND($M440=$O$7,$B440&lt;'111'!$N$11),"x","")</f>
        <v/>
      </c>
      <c r="R440" s="38" t="str">
        <f>IF(ISERROR(FIND('112'!$M$9,G440,1)),"",IF((AND(FIND('112'!$M$9,G440,1)&gt;=1,$B440&gt;='112'!$N$8,$B440&lt;='112'!$O$8,OR($L440='112'!$I$6,$M440='112'!$I$6))),"x",""))</f>
        <v/>
      </c>
      <c r="S440" s="38" t="str">
        <f>IF(ISERROR(FIND('112'!$M$9,G440,1)),"",IF((AND(LEFT(G440,2)=LEFT('112'!$M$9,2),B440&lt;'112'!$N$8,$L440='112'!$I$6)),"x",""))</f>
        <v/>
      </c>
      <c r="T440" s="38" t="str">
        <f>IF(ISERROR(FIND('112'!$M$9,G440,1)),"",IF((AND(RIGHT(G440,2)=RIGHT('112'!$M$9,2),B440&lt;'112'!$N$8,$M440='112'!$I$6)),"x",""))</f>
        <v/>
      </c>
      <c r="U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38" t="str">
        <f>IF(OR(TH!L440=TH!$V$7,M440=TH!$V$7),"x","")</f>
        <v/>
      </c>
      <c r="W440" s="38" t="str">
        <f>IF(AND(B440&gt;='IN-NX'!$P$3,B440&lt;='IN-NX'!$Q$3,'IN-NX'!$D$7=D440,OR(LEFT(L440,2)="15",AND(LEFT(M440,2)&lt;&gt;"15",LEFT(M440,2)&lt;&gt;"33"))),"x","")</f>
        <v/>
      </c>
      <c r="X440" s="38" t="str">
        <f>IF(AND(OR(LEFT(TH!L440,2)="15",LEFT(TH!M440,2)="15"),'152-CT'!$J$8=TH!F440),"x","")</f>
        <v/>
      </c>
      <c r="Y440" s="38" t="str">
        <f>IF(AND(OR(LEFT(TH!L440,2)="15",LEFT(TH!M440,2)="15"),TK!$E$7=TH!F440),"x","")</f>
        <v/>
      </c>
      <c r="Z440" s="38" t="str">
        <f>IF(AND(B440&lt;=NKC!$N$8,B440&gt;=NKC!$M$8),"x","")</f>
        <v/>
      </c>
      <c r="AA440" s="845"/>
      <c r="AB440" s="581"/>
    </row>
    <row r="441" spans="1:30" s="201" customFormat="1" ht="15.75" customHeight="1">
      <c r="A441" s="846" t="str">
        <f>IF(B441&lt;&gt;"",IF(AND(B441&gt;=_TM1,B441&lt;=_TM2,OR(TH!L441="1111",TH!M441="1111")),TH!D441,""),"")</f>
        <v/>
      </c>
      <c r="B441" s="36" t="str">
        <f t="shared" si="12"/>
        <v/>
      </c>
      <c r="C441" s="187"/>
      <c r="D441" s="187"/>
      <c r="E441" s="187"/>
      <c r="F441" s="39"/>
      <c r="G441" s="854"/>
      <c r="H441" s="189"/>
      <c r="I441" s="249"/>
      <c r="J441" s="249"/>
      <c r="K441" s="589"/>
      <c r="L441" s="590"/>
      <c r="M441" s="590"/>
      <c r="N441" s="38" t="str">
        <f>IF(AND('331-CT'!$E$7=TH!H441,OR(L441="331",M441="331")),"331",IF(AND(OR(L441="131",M441="131"),H441='131-CT'!$E$7),"131",""))</f>
        <v/>
      </c>
      <c r="O441" s="38" t="str">
        <f>IF(AND($B441&gt;='111'!$N$11,$B441&lt;='111'!$O$11,OR($L441=$O$7,$M441=$O$7)),"x","")</f>
        <v/>
      </c>
      <c r="P441" s="38" t="str">
        <f>IF(AND($L441=$O$7,$B441&lt;'111'!$N$11),"x","")</f>
        <v/>
      </c>
      <c r="Q441" s="38" t="str">
        <f>IF(AND($M441=$O$7,$B441&lt;'111'!$N$11),"x","")</f>
        <v/>
      </c>
      <c r="R441" s="38" t="str">
        <f>IF(ISERROR(FIND('112'!$M$9,G441,1)),"",IF((AND(FIND('112'!$M$9,G441,1)&gt;=1,$B441&gt;='112'!$N$8,$B441&lt;='112'!$O$8,OR($L441='112'!$I$6,$M441='112'!$I$6))),"x",""))</f>
        <v/>
      </c>
      <c r="S441" s="38" t="str">
        <f>IF(ISERROR(FIND('112'!$M$9,G441,1)),"",IF((AND(LEFT(G441,2)=LEFT('112'!$M$9,2),B441&lt;'112'!$N$8,$L441='112'!$I$6)),"x",""))</f>
        <v/>
      </c>
      <c r="T441" s="38" t="str">
        <f>IF(ISERROR(FIND('112'!$M$9,G441,1)),"",IF((AND(RIGHT(G441,2)=RIGHT('112'!$M$9,2),B441&lt;'112'!$N$8,$M441='112'!$I$6)),"x",""))</f>
        <v/>
      </c>
      <c r="U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38" t="str">
        <f>IF(OR(TH!L441=TH!$V$7,M441=TH!$V$7),"x","")</f>
        <v/>
      </c>
      <c r="W441" s="38" t="str">
        <f>IF(AND(B441&gt;='IN-NX'!$P$3,B441&lt;='IN-NX'!$Q$3,'IN-NX'!$D$7=D441,OR(LEFT(L441,2)="15",AND(LEFT(M441,2)&lt;&gt;"15",LEFT(M441,2)&lt;&gt;"33"))),"x","")</f>
        <v/>
      </c>
      <c r="X441" s="38" t="str">
        <f>IF(AND(OR(LEFT(TH!L441,2)="15",LEFT(TH!M441,2)="15"),'152-CT'!$J$8=TH!F441),"x","")</f>
        <v/>
      </c>
      <c r="Y441" s="38" t="str">
        <f>IF(AND(OR(LEFT(TH!L441,2)="15",LEFT(TH!M441,2)="15"),TK!$E$7=TH!F441),"x","")</f>
        <v/>
      </c>
      <c r="Z441" s="38" t="str">
        <f>IF(AND(B441&lt;=NKC!$N$8,B441&gt;=NKC!$M$8),"x","")</f>
        <v/>
      </c>
      <c r="AA441" s="845"/>
      <c r="AB441" s="581"/>
    </row>
    <row r="442" spans="1:30" s="201" customFormat="1" ht="15.75" customHeight="1">
      <c r="A442" s="846" t="str">
        <f>IF(B442&lt;&gt;"",IF(AND(B442&gt;=_TM1,B442&lt;=_TM2,OR(TH!L442="1111",TH!M442="1111")),TH!D442,""),"")</f>
        <v/>
      </c>
      <c r="B442" s="36" t="str">
        <f t="shared" si="12"/>
        <v/>
      </c>
      <c r="C442" s="187"/>
      <c r="D442" s="187"/>
      <c r="E442" s="187"/>
      <c r="F442" s="39"/>
      <c r="G442" s="854"/>
      <c r="H442" s="189"/>
      <c r="I442" s="249"/>
      <c r="J442" s="249"/>
      <c r="K442" s="589"/>
      <c r="L442" s="590"/>
      <c r="M442" s="590"/>
      <c r="N442" s="38" t="str">
        <f>IF(AND('331-CT'!$E$7=TH!H442,OR(L442="331",M442="331")),"331",IF(AND(OR(L442="131",M442="131"),H442='131-CT'!$E$7),"131",""))</f>
        <v/>
      </c>
      <c r="O442" s="38" t="str">
        <f>IF(AND($B442&gt;='111'!$N$11,$B442&lt;='111'!$O$11,OR($L442=$O$7,$M442=$O$7)),"x","")</f>
        <v/>
      </c>
      <c r="P442" s="38" t="str">
        <f>IF(AND($L442=$O$7,$B442&lt;'111'!$N$11),"x","")</f>
        <v/>
      </c>
      <c r="Q442" s="38" t="str">
        <f>IF(AND($M442=$O$7,$B442&lt;'111'!$N$11),"x","")</f>
        <v/>
      </c>
      <c r="R442" s="38" t="str">
        <f>IF(ISERROR(FIND('112'!$M$9,G442,1)),"",IF((AND(FIND('112'!$M$9,G442,1)&gt;=1,$B442&gt;='112'!$N$8,$B442&lt;='112'!$O$8,OR($L442='112'!$I$6,$M442='112'!$I$6))),"x",""))</f>
        <v/>
      </c>
      <c r="S442" s="38" t="str">
        <f>IF(ISERROR(FIND('112'!$M$9,G442,1)),"",IF((AND(LEFT(G442,2)=LEFT('112'!$M$9,2),B442&lt;'112'!$N$8,$L442='112'!$I$6)),"x",""))</f>
        <v/>
      </c>
      <c r="T442" s="38" t="str">
        <f>IF(ISERROR(FIND('112'!$M$9,G442,1)),"",IF((AND(RIGHT(G442,2)=RIGHT('112'!$M$9,2),B442&lt;'112'!$N$8,$M442='112'!$I$6)),"x",""))</f>
        <v/>
      </c>
      <c r="U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38" t="str">
        <f>IF(OR(TH!L442=TH!$V$7,M442=TH!$V$7),"x","")</f>
        <v/>
      </c>
      <c r="W442" s="38" t="str">
        <f>IF(AND(B442&gt;='IN-NX'!$P$3,B442&lt;='IN-NX'!$Q$3,'IN-NX'!$D$7=D442,OR(LEFT(L442,2)="15",AND(LEFT(M442,2)&lt;&gt;"15",LEFT(M442,2)&lt;&gt;"33"))),"x","")</f>
        <v/>
      </c>
      <c r="X442" s="38" t="str">
        <f>IF(AND(OR(LEFT(TH!L442,2)="15",LEFT(TH!M442,2)="15"),'152-CT'!$J$8=TH!F442),"x","")</f>
        <v/>
      </c>
      <c r="Y442" s="38" t="str">
        <f>IF(AND(OR(LEFT(TH!L442,2)="15",LEFT(TH!M442,2)="15"),TK!$E$7=TH!F442),"x","")</f>
        <v/>
      </c>
      <c r="Z442" s="38" t="str">
        <f>IF(AND(B442&lt;=NKC!$N$8,B442&gt;=NKC!$M$8),"x","")</f>
        <v/>
      </c>
      <c r="AA442" s="845"/>
      <c r="AB442" s="581"/>
    </row>
    <row r="443" spans="1:30" s="201" customFormat="1" ht="15.75" customHeight="1">
      <c r="A443" s="846" t="str">
        <f>IF(B443&lt;&gt;"",IF(AND(B443&gt;=_TM1,B443&lt;=_TM2,OR(TH!L443="1111",TH!M443="1111")),TH!D443,""),"")</f>
        <v/>
      </c>
      <c r="B443" s="36" t="str">
        <f t="shared" si="12"/>
        <v/>
      </c>
      <c r="C443" s="187"/>
      <c r="D443" s="187"/>
      <c r="E443" s="187"/>
      <c r="F443" s="39"/>
      <c r="G443" s="854"/>
      <c r="H443" s="189"/>
      <c r="I443" s="249"/>
      <c r="J443" s="249"/>
      <c r="K443" s="589"/>
      <c r="L443" s="590"/>
      <c r="M443" s="590"/>
      <c r="N443" s="38" t="str">
        <f>IF(AND('331-CT'!$E$7=TH!H443,OR(L443="331",M443="331")),"331",IF(AND(OR(L443="131",M443="131"),H443='131-CT'!$E$7),"131",""))</f>
        <v/>
      </c>
      <c r="O443" s="38" t="str">
        <f>IF(AND($B443&gt;='111'!$N$11,$B443&lt;='111'!$O$11,OR($L443=$O$7,$M443=$O$7)),"x","")</f>
        <v/>
      </c>
      <c r="P443" s="38" t="str">
        <f>IF(AND($L443=$O$7,$B443&lt;'111'!$N$11),"x","")</f>
        <v/>
      </c>
      <c r="Q443" s="38" t="str">
        <f>IF(AND($M443=$O$7,$B443&lt;'111'!$N$11),"x","")</f>
        <v/>
      </c>
      <c r="R443" s="38" t="str">
        <f>IF(ISERROR(FIND('112'!$M$9,G443,1)),"",IF((AND(FIND('112'!$M$9,G443,1)&gt;=1,$B443&gt;='112'!$N$8,$B443&lt;='112'!$O$8,OR($L443='112'!$I$6,$M443='112'!$I$6))),"x",""))</f>
        <v/>
      </c>
      <c r="S443" s="38" t="str">
        <f>IF(ISERROR(FIND('112'!$M$9,G443,1)),"",IF((AND(LEFT(G443,2)=LEFT('112'!$M$9,2),B443&lt;'112'!$N$8,$L443='112'!$I$6)),"x",""))</f>
        <v/>
      </c>
      <c r="T443" s="38" t="str">
        <f>IF(ISERROR(FIND('112'!$M$9,G443,1)),"",IF((AND(RIGHT(G443,2)=RIGHT('112'!$M$9,2),B443&lt;'112'!$N$8,$M443='112'!$I$6)),"x",""))</f>
        <v/>
      </c>
      <c r="U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38" t="str">
        <f>IF(OR(TH!L443=TH!$V$7,M443=TH!$V$7),"x","")</f>
        <v/>
      </c>
      <c r="W443" s="38" t="str">
        <f>IF(AND(B443&gt;='IN-NX'!$P$3,B443&lt;='IN-NX'!$Q$3,'IN-NX'!$D$7=D443,OR(LEFT(L443,2)="15",AND(LEFT(M443,2)&lt;&gt;"15",LEFT(M443,2)&lt;&gt;"33"))),"x","")</f>
        <v/>
      </c>
      <c r="X443" s="38" t="str">
        <f>IF(AND(OR(LEFT(TH!L443,2)="15",LEFT(TH!M443,2)="15"),'152-CT'!$J$8=TH!F443),"x","")</f>
        <v/>
      </c>
      <c r="Y443" s="38" t="str">
        <f>IF(AND(OR(LEFT(TH!L443,2)="15",LEFT(TH!M443,2)="15"),TK!$E$7=TH!F443),"x","")</f>
        <v/>
      </c>
      <c r="Z443" s="38" t="str">
        <f>IF(AND(B443&lt;=NKC!$N$8,B443&gt;=NKC!$M$8),"x","")</f>
        <v/>
      </c>
      <c r="AA443" s="845"/>
      <c r="AB443" s="581"/>
    </row>
    <row r="444" spans="1:30" s="201" customFormat="1" ht="15.75" customHeight="1">
      <c r="A444" s="846" t="str">
        <f>IF(B444&lt;&gt;"",IF(AND(B444&gt;=_TM1,B444&lt;=_TM2,OR(TH!L444="1111",TH!M444="1111")),TH!D444,""),"")</f>
        <v/>
      </c>
      <c r="B444" s="36" t="str">
        <f t="shared" si="12"/>
        <v/>
      </c>
      <c r="C444" s="187"/>
      <c r="D444" s="187"/>
      <c r="E444" s="187"/>
      <c r="F444" s="39"/>
      <c r="G444" s="854"/>
      <c r="H444" s="189"/>
      <c r="I444" s="249"/>
      <c r="J444" s="249"/>
      <c r="K444" s="589"/>
      <c r="L444" s="590"/>
      <c r="M444" s="590"/>
      <c r="N444" s="38" t="str">
        <f>IF(AND('331-CT'!$E$7=TH!H444,OR(L444="331",M444="331")),"331",IF(AND(OR(L444="131",M444="131"),H444='131-CT'!$E$7),"131",""))</f>
        <v/>
      </c>
      <c r="O444" s="38" t="str">
        <f>IF(AND($B444&gt;='111'!$N$11,$B444&lt;='111'!$O$11,OR($L444=$O$7,$M444=$O$7)),"x","")</f>
        <v/>
      </c>
      <c r="P444" s="38" t="str">
        <f>IF(AND($L444=$O$7,$B444&lt;'111'!$N$11),"x","")</f>
        <v/>
      </c>
      <c r="Q444" s="38" t="str">
        <f>IF(AND($M444=$O$7,$B444&lt;'111'!$N$11),"x","")</f>
        <v/>
      </c>
      <c r="R444" s="38" t="str">
        <f>IF(ISERROR(FIND('112'!$M$9,G444,1)),"",IF((AND(FIND('112'!$M$9,G444,1)&gt;=1,$B444&gt;='112'!$N$8,$B444&lt;='112'!$O$8,OR($L444='112'!$I$6,$M444='112'!$I$6))),"x",""))</f>
        <v/>
      </c>
      <c r="S444" s="38" t="str">
        <f>IF(ISERROR(FIND('112'!$M$9,G444,1)),"",IF((AND(LEFT(G444,2)=LEFT('112'!$M$9,2),B444&lt;'112'!$N$8,$L444='112'!$I$6)),"x",""))</f>
        <v/>
      </c>
      <c r="T444" s="38" t="str">
        <f>IF(ISERROR(FIND('112'!$M$9,G444,1)),"",IF((AND(RIGHT(G444,2)=RIGHT('112'!$M$9,2),B444&lt;'112'!$N$8,$M444='112'!$I$6)),"x",""))</f>
        <v/>
      </c>
      <c r="U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38" t="str">
        <f>IF(OR(TH!L444=TH!$V$7,M444=TH!$V$7),"x","")</f>
        <v/>
      </c>
      <c r="W444" s="38" t="str">
        <f>IF(AND(B444&gt;='IN-NX'!$P$3,B444&lt;='IN-NX'!$Q$3,'IN-NX'!$D$7=D444,OR(LEFT(L444,2)="15",AND(LEFT(M444,2)&lt;&gt;"15",LEFT(M444,2)&lt;&gt;"33"))),"x","")</f>
        <v/>
      </c>
      <c r="X444" s="38" t="str">
        <f>IF(AND(OR(LEFT(TH!L444,2)="15",LEFT(TH!M444,2)="15"),'152-CT'!$J$8=TH!F444),"x","")</f>
        <v/>
      </c>
      <c r="Y444" s="38" t="str">
        <f>IF(AND(OR(LEFT(TH!L444,2)="15",LEFT(TH!M444,2)="15"),TK!$E$7=TH!F444),"x","")</f>
        <v/>
      </c>
      <c r="Z444" s="38" t="str">
        <f>IF(AND(B444&lt;=NKC!$N$8,B444&gt;=NKC!$M$8),"x","")</f>
        <v/>
      </c>
      <c r="AA444" s="845"/>
      <c r="AB444" s="581"/>
    </row>
    <row r="445" spans="1:30" s="201" customFormat="1" ht="15.75" customHeight="1">
      <c r="A445" s="846" t="str">
        <f>IF(B445&lt;&gt;"",IF(AND(B445&gt;=_TM1,B445&lt;=_TM2,OR(TH!L445="1111",TH!M445="1111")),TH!D445,""),"")</f>
        <v/>
      </c>
      <c r="B445" s="36" t="str">
        <f t="shared" si="12"/>
        <v/>
      </c>
      <c r="C445" s="187"/>
      <c r="D445" s="187"/>
      <c r="E445" s="187"/>
      <c r="F445" s="39"/>
      <c r="G445" s="854"/>
      <c r="H445" s="189"/>
      <c r="I445" s="249"/>
      <c r="J445" s="249"/>
      <c r="K445" s="589"/>
      <c r="L445" s="590"/>
      <c r="M445" s="590"/>
      <c r="N445" s="38" t="str">
        <f>IF(AND('331-CT'!$E$7=TH!H445,OR(L445="331",M445="331")),"331",IF(AND(OR(L445="131",M445="131"),H445='131-CT'!$E$7),"131",""))</f>
        <v/>
      </c>
      <c r="O445" s="38" t="str">
        <f>IF(AND($B445&gt;='111'!$N$11,$B445&lt;='111'!$O$11,OR($L445=$O$7,$M445=$O$7)),"x","")</f>
        <v/>
      </c>
      <c r="P445" s="38" t="str">
        <f>IF(AND($L445=$O$7,$B445&lt;'111'!$N$11),"x","")</f>
        <v/>
      </c>
      <c r="Q445" s="38" t="str">
        <f>IF(AND($M445=$O$7,$B445&lt;'111'!$N$11),"x","")</f>
        <v/>
      </c>
      <c r="R445" s="38" t="str">
        <f>IF(ISERROR(FIND('112'!$M$9,G445,1)),"",IF((AND(FIND('112'!$M$9,G445,1)&gt;=1,$B445&gt;='112'!$N$8,$B445&lt;='112'!$O$8,OR($L445='112'!$I$6,$M445='112'!$I$6))),"x",""))</f>
        <v/>
      </c>
      <c r="S445" s="38" t="str">
        <f>IF(ISERROR(FIND('112'!$M$9,G445,1)),"",IF((AND(LEFT(G445,2)=LEFT('112'!$M$9,2),B445&lt;'112'!$N$8,$L445='112'!$I$6)),"x",""))</f>
        <v/>
      </c>
      <c r="T445" s="38" t="str">
        <f>IF(ISERROR(FIND('112'!$M$9,G445,1)),"",IF((AND(RIGHT(G445,2)=RIGHT('112'!$M$9,2),B445&lt;'112'!$N$8,$M445='112'!$I$6)),"x",""))</f>
        <v/>
      </c>
      <c r="U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38" t="str">
        <f>IF(OR(TH!L445=TH!$V$7,M445=TH!$V$7),"x","")</f>
        <v/>
      </c>
      <c r="W445" s="38" t="str">
        <f>IF(AND(B445&gt;='IN-NX'!$P$3,B445&lt;='IN-NX'!$Q$3,'IN-NX'!$D$7=D445,OR(LEFT(L445,2)="15",AND(LEFT(M445,2)&lt;&gt;"15",LEFT(M445,2)&lt;&gt;"33"))),"x","")</f>
        <v/>
      </c>
      <c r="X445" s="38" t="str">
        <f>IF(AND(OR(LEFT(TH!L445,2)="15",LEFT(TH!M445,2)="15"),'152-CT'!$J$8=TH!F445),"x","")</f>
        <v/>
      </c>
      <c r="Y445" s="38" t="str">
        <f>IF(AND(OR(LEFT(TH!L445,2)="15",LEFT(TH!M445,2)="15"),TK!$E$7=TH!F445),"x","")</f>
        <v/>
      </c>
      <c r="Z445" s="38" t="str">
        <f>IF(AND(B445&lt;=NKC!$N$8,B445&gt;=NKC!$M$8),"x","")</f>
        <v/>
      </c>
      <c r="AA445" s="845"/>
      <c r="AB445" s="581"/>
    </row>
    <row r="446" spans="1:30" s="201" customFormat="1" ht="15.75" customHeight="1">
      <c r="A446" s="846" t="str">
        <f>IF(B446&lt;&gt;"",IF(AND(B446&gt;=_TM1,B446&lt;=_TM2,OR(TH!L446="1111",TH!M446="1111")),TH!D446,""),"")</f>
        <v/>
      </c>
      <c r="B446" s="36" t="str">
        <f t="shared" si="12"/>
        <v/>
      </c>
      <c r="C446" s="187"/>
      <c r="D446" s="187"/>
      <c r="E446" s="187"/>
      <c r="F446" s="39"/>
      <c r="G446" s="854"/>
      <c r="H446" s="189"/>
      <c r="I446" s="249"/>
      <c r="J446" s="249"/>
      <c r="K446" s="589"/>
      <c r="L446" s="590"/>
      <c r="M446" s="590"/>
      <c r="N446" s="38" t="str">
        <f>IF(AND('331-CT'!$E$7=TH!H446,OR(L446="331",M446="331")),"331",IF(AND(OR(L446="131",M446="131"),H446='131-CT'!$E$7),"131",""))</f>
        <v/>
      </c>
      <c r="O446" s="38" t="str">
        <f>IF(AND($B446&gt;='111'!$N$11,$B446&lt;='111'!$O$11,OR($L446=$O$7,$M446=$O$7)),"x","")</f>
        <v/>
      </c>
      <c r="P446" s="38" t="str">
        <f>IF(AND($L446=$O$7,$B446&lt;'111'!$N$11),"x","")</f>
        <v/>
      </c>
      <c r="Q446" s="38" t="str">
        <f>IF(AND($M446=$O$7,$B446&lt;'111'!$N$11),"x","")</f>
        <v/>
      </c>
      <c r="R446" s="38" t="str">
        <f>IF(ISERROR(FIND('112'!$M$9,G446,1)),"",IF((AND(FIND('112'!$M$9,G446,1)&gt;=1,$B446&gt;='112'!$N$8,$B446&lt;='112'!$O$8,OR($L446='112'!$I$6,$M446='112'!$I$6))),"x",""))</f>
        <v/>
      </c>
      <c r="S446" s="38" t="str">
        <f>IF(ISERROR(FIND('112'!$M$9,G446,1)),"",IF((AND(LEFT(G446,2)=LEFT('112'!$M$9,2),B446&lt;'112'!$N$8,$L446='112'!$I$6)),"x",""))</f>
        <v/>
      </c>
      <c r="T446" s="38" t="str">
        <f>IF(ISERROR(FIND('112'!$M$9,G446,1)),"",IF((AND(RIGHT(G446,2)=RIGHT('112'!$M$9,2),B446&lt;'112'!$N$8,$M446='112'!$I$6)),"x",""))</f>
        <v/>
      </c>
      <c r="U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38" t="str">
        <f>IF(OR(TH!L446=TH!$V$7,M446=TH!$V$7),"x","")</f>
        <v/>
      </c>
      <c r="W446" s="38" t="str">
        <f>IF(AND(B446&gt;='IN-NX'!$P$3,B446&lt;='IN-NX'!$Q$3,'IN-NX'!$D$7=D446,OR(LEFT(L446,2)="15",AND(LEFT(M446,2)&lt;&gt;"15",LEFT(M446,2)&lt;&gt;"33"))),"x","")</f>
        <v/>
      </c>
      <c r="X446" s="38" t="str">
        <f>IF(AND(OR(LEFT(TH!L446,2)="15",LEFT(TH!M446,2)="15"),'152-CT'!$J$8=TH!F446),"x","")</f>
        <v/>
      </c>
      <c r="Y446" s="38" t="str">
        <f>IF(AND(OR(LEFT(TH!L446,2)="15",LEFT(TH!M446,2)="15"),TK!$E$7=TH!F446),"x","")</f>
        <v/>
      </c>
      <c r="Z446" s="38" t="str">
        <f>IF(AND(B446&lt;=NKC!$N$8,B446&gt;=NKC!$M$8),"x","")</f>
        <v/>
      </c>
      <c r="AA446" s="845"/>
      <c r="AB446" s="581"/>
    </row>
    <row r="447" spans="1:30" s="201" customFormat="1" ht="15.75" customHeight="1">
      <c r="A447" s="846" t="str">
        <f>IF(B447&lt;&gt;"",IF(AND(B447&gt;=_TM1,B447&lt;=_TM2,OR(TH!L447="1111",TH!M447="1111")),TH!D447,""),"")</f>
        <v/>
      </c>
      <c r="B447" s="36" t="str">
        <f t="shared" si="12"/>
        <v/>
      </c>
      <c r="C447" s="187"/>
      <c r="D447" s="187"/>
      <c r="E447" s="187"/>
      <c r="F447" s="39"/>
      <c r="G447" s="854"/>
      <c r="H447" s="189"/>
      <c r="I447" s="249"/>
      <c r="J447" s="249"/>
      <c r="K447" s="589"/>
      <c r="L447" s="590"/>
      <c r="M447" s="590"/>
      <c r="N447" s="38" t="str">
        <f>IF(AND('331-CT'!$E$7=TH!H447,OR(L447="331",M447="331")),"331",IF(AND(OR(L447="131",M447="131"),H447='131-CT'!$E$7),"131",""))</f>
        <v/>
      </c>
      <c r="O447" s="38" t="str">
        <f>IF(AND($B447&gt;='111'!$N$11,$B447&lt;='111'!$O$11,OR($L447=$O$7,$M447=$O$7)),"x","")</f>
        <v/>
      </c>
      <c r="P447" s="38" t="str">
        <f>IF(AND($L447=$O$7,$B447&lt;'111'!$N$11),"x","")</f>
        <v/>
      </c>
      <c r="Q447" s="38" t="str">
        <f>IF(AND($M447=$O$7,$B447&lt;'111'!$N$11),"x","")</f>
        <v/>
      </c>
      <c r="R447" s="38" t="str">
        <f>IF(ISERROR(FIND('112'!$M$9,G447,1)),"",IF((AND(FIND('112'!$M$9,G447,1)&gt;=1,$B447&gt;='112'!$N$8,$B447&lt;='112'!$O$8,OR($L447='112'!$I$6,$M447='112'!$I$6))),"x",""))</f>
        <v/>
      </c>
      <c r="S447" s="38" t="str">
        <f>IF(ISERROR(FIND('112'!$M$9,G447,1)),"",IF((AND(LEFT(G447,2)=LEFT('112'!$M$9,2),B447&lt;'112'!$N$8,$L447='112'!$I$6)),"x",""))</f>
        <v/>
      </c>
      <c r="T447" s="38" t="str">
        <f>IF(ISERROR(FIND('112'!$M$9,G447,1)),"",IF((AND(RIGHT(G447,2)=RIGHT('112'!$M$9,2),B447&lt;'112'!$N$8,$M447='112'!$I$6)),"x",""))</f>
        <v/>
      </c>
      <c r="U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38" t="str">
        <f>IF(OR(TH!L447=TH!$V$7,M447=TH!$V$7),"x","")</f>
        <v/>
      </c>
      <c r="W447" s="38" t="str">
        <f>IF(AND(B447&gt;='IN-NX'!$P$3,B447&lt;='IN-NX'!$Q$3,'IN-NX'!$D$7=D447,OR(LEFT(L447,2)="15",AND(LEFT(M447,2)&lt;&gt;"15",LEFT(M447,2)&lt;&gt;"33"))),"x","")</f>
        <v/>
      </c>
      <c r="X447" s="38" t="str">
        <f>IF(AND(OR(LEFT(TH!L447,2)="15",LEFT(TH!M447,2)="15"),'152-CT'!$J$8=TH!F447),"x","")</f>
        <v/>
      </c>
      <c r="Y447" s="38" t="str">
        <f>IF(AND(OR(LEFT(TH!L447,2)="15",LEFT(TH!M447,2)="15"),TK!$E$7=TH!F447),"x","")</f>
        <v/>
      </c>
      <c r="Z447" s="38" t="str">
        <f>IF(AND(B447&lt;=NKC!$N$8,B447&gt;=NKC!$M$8),"x","")</f>
        <v/>
      </c>
      <c r="AA447" s="845"/>
      <c r="AB447" s="581"/>
    </row>
    <row r="448" spans="1:30" s="201" customFormat="1" ht="15.75" customHeight="1">
      <c r="A448" s="846" t="str">
        <f>IF(B448&lt;&gt;"",IF(AND(B448&gt;=_TM1,B448&lt;=_TM2,OR(TH!L448="1111",TH!M448="1111")),TH!D448,""),"")</f>
        <v/>
      </c>
      <c r="B448" s="36" t="str">
        <f>IF(C448&lt;&gt;"",MONTH(C448),"")</f>
        <v/>
      </c>
      <c r="C448" s="187"/>
      <c r="D448" s="187"/>
      <c r="E448" s="187"/>
      <c r="F448" s="188"/>
      <c r="G448" s="854"/>
      <c r="H448" s="189"/>
      <c r="I448" s="249"/>
      <c r="J448" s="249"/>
      <c r="K448" s="589"/>
      <c r="L448" s="590"/>
      <c r="M448" s="590"/>
      <c r="N448" s="50" t="str">
        <f>IF(AND('331-CT'!$E$7=TH!H448,OR(L448="331",M448="331")),"331",IF(AND(OR(L448="131",M448="131"),H448='131-CT'!$E$7),"131",""))</f>
        <v/>
      </c>
      <c r="O448" s="50" t="str">
        <f>IF(AND($B448&gt;='111'!$N$11,$B448&lt;='111'!$O$11,OR($L448=$O$7,$M448=$O$7)),"x","")</f>
        <v/>
      </c>
      <c r="P448" s="50" t="str">
        <f>IF(AND($L448=$O$7,$B448&lt;'111'!$N$11),"x","")</f>
        <v/>
      </c>
      <c r="Q448" s="50" t="str">
        <f>IF(AND($M448=$O$7,$B448&lt;'111'!$N$11),"x","")</f>
        <v/>
      </c>
      <c r="R448" s="50" t="str">
        <f>IF(ISERROR(FIND('112'!$M$9,G448,1)),"",IF((AND(FIND('112'!$M$9,G448,1)&gt;=1,$B448&gt;='112'!$N$8,$B448&lt;='112'!$O$8,OR($L448='112'!$I$6,$M448='112'!$I$6))),"x",""))</f>
        <v/>
      </c>
      <c r="S448" s="50" t="str">
        <f>IF(ISERROR(FIND('112'!$M$9,G448,1)),"",IF((AND(LEFT(G448,2)=LEFT('112'!$M$9,2),B448&lt;'112'!$N$8,$L448='112'!$I$6)),"x",""))</f>
        <v/>
      </c>
      <c r="T448" s="50" t="str">
        <f>IF(ISERROR(FIND('112'!$M$9,G448,1)),"",IF((AND(RIGHT(G448,2)=RIGHT('112'!$M$9,2),B448&lt;'112'!$N$8,$M448='112'!$I$6)),"x",""))</f>
        <v/>
      </c>
      <c r="U448" s="50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0" t="str">
        <f>IF(OR(TH!L448=TH!$V$7,M448=TH!$V$7),"x","")</f>
        <v/>
      </c>
      <c r="W448" s="50" t="str">
        <f>IF(AND(B448&gt;='IN-NX'!$P$3,B448&lt;='IN-NX'!$Q$3,'IN-NX'!$D$7=D448,OR(LEFT(L448,2)="15",AND(LEFT(M448,2)&lt;&gt;"15",LEFT(M448,2)&lt;&gt;"33"))),"x","")</f>
        <v/>
      </c>
      <c r="X448" s="50" t="str">
        <f>IF(AND(OR(LEFT(TH!L448,2)="15",LEFT(TH!M448,2)="15"),'152-CT'!$J$8=TH!F448),"x","")</f>
        <v/>
      </c>
      <c r="Y448" s="50" t="str">
        <f>IF(AND(OR(LEFT(TH!L448,2)="15",LEFT(TH!M448,2)="15"),TK!$E$7=TH!F448),"x","")</f>
        <v/>
      </c>
      <c r="Z448" s="50" t="str">
        <f>IF(AND(B448&lt;=NKC!$N$8,B448&gt;=NKC!$M$8),"x","")</f>
        <v/>
      </c>
      <c r="AA448" s="845"/>
      <c r="AB448" s="581"/>
      <c r="AD448" s="581"/>
    </row>
    <row r="449" spans="1:30" s="201" customFormat="1" ht="15.75" customHeight="1">
      <c r="A449" s="846" t="str">
        <f>IF(B449&lt;&gt;"",IF(AND(B449&gt;=_TM1,B449&lt;=_TM2,OR(TH!L449="1111",TH!M449="1111")),TH!D449,""),"")</f>
        <v/>
      </c>
      <c r="B449" s="36" t="str">
        <f t="shared" si="12"/>
        <v/>
      </c>
      <c r="C449" s="187"/>
      <c r="D449" s="187"/>
      <c r="E449" s="187"/>
      <c r="F449" s="188"/>
      <c r="G449" s="854"/>
      <c r="H449" s="189"/>
      <c r="I449" s="249"/>
      <c r="J449" s="249"/>
      <c r="K449" s="589"/>
      <c r="L449" s="590"/>
      <c r="M449" s="590"/>
      <c r="N449" s="38" t="str">
        <f>IF(AND('331-CT'!$E$7=TH!H449,OR(L449="331",M449="331")),"331",IF(AND(OR(L449="131",M449="131"),H449='131-CT'!$E$7),"131",""))</f>
        <v/>
      </c>
      <c r="O449" s="38" t="str">
        <f>IF(AND($B449&gt;='111'!$N$11,$B449&lt;='111'!$O$11,OR($L449=$O$7,$M449=$O$7)),"x","")</f>
        <v/>
      </c>
      <c r="P449" s="38" t="str">
        <f>IF(AND($L449=$O$7,$B449&lt;'111'!$N$11),"x","")</f>
        <v/>
      </c>
      <c r="Q449" s="38" t="str">
        <f>IF(AND($M449=$O$7,$B449&lt;'111'!$N$11),"x","")</f>
        <v/>
      </c>
      <c r="R449" s="38" t="str">
        <f>IF(ISERROR(FIND('112'!$M$9,G449,1)),"",IF((AND(FIND('112'!$M$9,G449,1)&gt;=1,$B449&gt;='112'!$N$8,$B449&lt;='112'!$O$8,OR($L449='112'!$I$6,$M449='112'!$I$6))),"x",""))</f>
        <v/>
      </c>
      <c r="S449" s="38" t="str">
        <f>IF(ISERROR(FIND('112'!$M$9,G449,1)),"",IF((AND(LEFT(G449,2)=LEFT('112'!$M$9,2),B449&lt;'112'!$N$8,$L449='112'!$I$6)),"x",""))</f>
        <v/>
      </c>
      <c r="T449" s="38" t="str">
        <f>IF(ISERROR(FIND('112'!$M$9,G449,1)),"",IF((AND(RIGHT(G449,2)=RIGHT('112'!$M$9,2),B449&lt;'112'!$N$8,$M449='112'!$I$6)),"x",""))</f>
        <v/>
      </c>
      <c r="U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38" t="str">
        <f>IF(OR(TH!L449=TH!$V$7,M449=TH!$V$7),"x","")</f>
        <v/>
      </c>
      <c r="W449" s="38" t="str">
        <f>IF(AND(B449&gt;='IN-NX'!$P$3,B449&lt;='IN-NX'!$Q$3,'IN-NX'!$D$7=D449,OR(LEFT(L449,2)="15",AND(LEFT(M449,2)&lt;&gt;"15",LEFT(M449,2)&lt;&gt;"33"))),"x","")</f>
        <v/>
      </c>
      <c r="X449" s="38" t="str">
        <f>IF(AND(OR(LEFT(TH!L449,2)="15",LEFT(TH!M449,2)="15"),'152-CT'!$J$8=TH!F449),"x","")</f>
        <v/>
      </c>
      <c r="Y449" s="38" t="str">
        <f>IF(AND(OR(LEFT(TH!L449,2)="15",LEFT(TH!M449,2)="15"),TK!$E$7=TH!F449),"x","")</f>
        <v/>
      </c>
      <c r="Z449" s="38" t="str">
        <f>IF(AND(B449&lt;=NKC!$N$8,B449&gt;=NKC!$M$8),"x","")</f>
        <v/>
      </c>
      <c r="AA449" s="845"/>
      <c r="AB449" s="581"/>
    </row>
    <row r="450" spans="1:30" s="201" customFormat="1" ht="15.75" customHeight="1">
      <c r="A450" s="846" t="str">
        <f>IF(B450&lt;&gt;"",IF(AND(B450&gt;=_TM1,B450&lt;=_TM2,OR(TH!L450="1111",TH!M450="1111")),TH!D450,""),"")</f>
        <v/>
      </c>
      <c r="B450" s="36" t="str">
        <f t="shared" si="12"/>
        <v/>
      </c>
      <c r="C450" s="187"/>
      <c r="D450" s="187"/>
      <c r="E450" s="187"/>
      <c r="F450" s="39"/>
      <c r="G450" s="854"/>
      <c r="H450" s="189"/>
      <c r="I450" s="249"/>
      <c r="J450" s="249"/>
      <c r="K450" s="589"/>
      <c r="L450" s="590"/>
      <c r="M450" s="590"/>
      <c r="N450" s="38" t="str">
        <f>IF(AND('331-CT'!$E$7=TH!H450,OR(L450="331",M450="331")),"331",IF(AND(OR(L450="131",M450="131"),H450='131-CT'!$E$7),"131",""))</f>
        <v/>
      </c>
      <c r="O450" s="38" t="str">
        <f>IF(AND($B450&gt;='111'!$N$11,$B450&lt;='111'!$O$11,OR($L450=$O$7,$M450=$O$7)),"x","")</f>
        <v/>
      </c>
      <c r="P450" s="38" t="str">
        <f>IF(AND($L450=$O$7,$B450&lt;'111'!$N$11),"x","")</f>
        <v/>
      </c>
      <c r="Q450" s="38" t="str">
        <f>IF(AND($M450=$O$7,$B450&lt;'111'!$N$11),"x","")</f>
        <v/>
      </c>
      <c r="R450" s="38" t="str">
        <f>IF(ISERROR(FIND('112'!$M$9,G450,1)),"",IF((AND(FIND('112'!$M$9,G450,1)&gt;=1,$B450&gt;='112'!$N$8,$B450&lt;='112'!$O$8,OR($L450='112'!$I$6,$M450='112'!$I$6))),"x",""))</f>
        <v/>
      </c>
      <c r="S450" s="38" t="str">
        <f>IF(ISERROR(FIND('112'!$M$9,G450,1)),"",IF((AND(LEFT(G450,2)=LEFT('112'!$M$9,2),B450&lt;'112'!$N$8,$L450='112'!$I$6)),"x",""))</f>
        <v/>
      </c>
      <c r="T450" s="38" t="str">
        <f>IF(ISERROR(FIND('112'!$M$9,G450,1)),"",IF((AND(RIGHT(G450,2)=RIGHT('112'!$M$9,2),B450&lt;'112'!$N$8,$M450='112'!$I$6)),"x",""))</f>
        <v/>
      </c>
      <c r="U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38" t="str">
        <f>IF(OR(TH!L450=TH!$V$7,M450=TH!$V$7),"x","")</f>
        <v/>
      </c>
      <c r="W450" s="38" t="str">
        <f>IF(AND(B450&gt;='IN-NX'!$P$3,B450&lt;='IN-NX'!$Q$3,'IN-NX'!$D$7=D450,OR(LEFT(L450,2)="15",AND(LEFT(M450,2)&lt;&gt;"15",LEFT(M450,2)&lt;&gt;"33"))),"x","")</f>
        <v/>
      </c>
      <c r="X450" s="38" t="str">
        <f>IF(AND(OR(LEFT(TH!L450,2)="15",LEFT(TH!M450,2)="15"),'152-CT'!$J$8=TH!F450),"x","")</f>
        <v/>
      </c>
      <c r="Y450" s="38" t="str">
        <f>IF(AND(OR(LEFT(TH!L450,2)="15",LEFT(TH!M450,2)="15"),TK!$E$7=TH!F450),"x","")</f>
        <v/>
      </c>
      <c r="Z450" s="38" t="str">
        <f>IF(AND(B450&lt;=NKC!$N$8,B450&gt;=NKC!$M$8),"x","")</f>
        <v/>
      </c>
      <c r="AA450" s="845"/>
      <c r="AB450" s="581"/>
    </row>
    <row r="451" spans="1:30" s="201" customFormat="1" ht="15.75" customHeight="1">
      <c r="A451" s="846" t="str">
        <f>IF(B451&lt;&gt;"",IF(AND(B451&gt;=_TM1,B451&lt;=_TM2,OR(TH!L451="1111",TH!M451="1111")),TH!D451,""),"")</f>
        <v/>
      </c>
      <c r="B451" s="36" t="str">
        <f t="shared" si="12"/>
        <v/>
      </c>
      <c r="C451" s="187"/>
      <c r="D451" s="187"/>
      <c r="E451" s="187"/>
      <c r="F451" s="39"/>
      <c r="G451" s="854"/>
      <c r="H451" s="189"/>
      <c r="I451" s="249"/>
      <c r="J451" s="249"/>
      <c r="K451" s="589"/>
      <c r="L451" s="590"/>
      <c r="M451" s="590"/>
      <c r="N451" s="38" t="str">
        <f>IF(AND('331-CT'!$E$7=TH!H451,OR(L451="331",M451="331")),"331",IF(AND(OR(L451="131",M451="131"),H451='131-CT'!$E$7),"131",""))</f>
        <v/>
      </c>
      <c r="O451" s="38" t="str">
        <f>IF(AND($B451&gt;='111'!$N$11,$B451&lt;='111'!$O$11,OR($L451=$O$7,$M451=$O$7)),"x","")</f>
        <v/>
      </c>
      <c r="P451" s="38" t="str">
        <f>IF(AND($L451=$O$7,$B451&lt;'111'!$N$11),"x","")</f>
        <v/>
      </c>
      <c r="Q451" s="38" t="str">
        <f>IF(AND($M451=$O$7,$B451&lt;'111'!$N$11),"x","")</f>
        <v/>
      </c>
      <c r="R451" s="38" t="str">
        <f>IF(ISERROR(FIND('112'!$M$9,G451,1)),"",IF((AND(FIND('112'!$M$9,G451,1)&gt;=1,$B451&gt;='112'!$N$8,$B451&lt;='112'!$O$8,OR($L451='112'!$I$6,$M451='112'!$I$6))),"x",""))</f>
        <v/>
      </c>
      <c r="S451" s="38" t="str">
        <f>IF(ISERROR(FIND('112'!$M$9,G451,1)),"",IF((AND(LEFT(G451,2)=LEFT('112'!$M$9,2),B451&lt;'112'!$N$8,$L451='112'!$I$6)),"x",""))</f>
        <v/>
      </c>
      <c r="T451" s="38" t="str">
        <f>IF(ISERROR(FIND('112'!$M$9,G451,1)),"",IF((AND(RIGHT(G451,2)=RIGHT('112'!$M$9,2),B451&lt;'112'!$N$8,$M451='112'!$I$6)),"x",""))</f>
        <v/>
      </c>
      <c r="U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38" t="str">
        <f>IF(OR(TH!L451=TH!$V$7,M451=TH!$V$7),"x","")</f>
        <v/>
      </c>
      <c r="W451" s="38" t="str">
        <f>IF(AND(B451&gt;='IN-NX'!$P$3,B451&lt;='IN-NX'!$Q$3,'IN-NX'!$D$7=D451,OR(LEFT(L451,2)="15",AND(LEFT(M451,2)&lt;&gt;"15",LEFT(M451,2)&lt;&gt;"33"))),"x","")</f>
        <v/>
      </c>
      <c r="X451" s="38" t="str">
        <f>IF(AND(OR(LEFT(TH!L451,2)="15",LEFT(TH!M451,2)="15"),'152-CT'!$J$8=TH!F451),"x","")</f>
        <v/>
      </c>
      <c r="Y451" s="38" t="str">
        <f>IF(AND(OR(LEFT(TH!L451,2)="15",LEFT(TH!M451,2)="15"),TK!$E$7=TH!F451),"x","")</f>
        <v/>
      </c>
      <c r="Z451" s="38" t="str">
        <f>IF(AND(B451&lt;=NKC!$N$8,B451&gt;=NKC!$M$8),"x","")</f>
        <v/>
      </c>
      <c r="AA451" s="845"/>
      <c r="AB451" s="581"/>
    </row>
    <row r="452" spans="1:30" s="201" customFormat="1" ht="15.75" customHeight="1">
      <c r="A452" s="846" t="str">
        <f>IF(B452&lt;&gt;"",IF(AND(B452&gt;=_TM1,B452&lt;=_TM2,OR(TH!L452="1111",TH!M452="1111")),TH!D452,""),"")</f>
        <v/>
      </c>
      <c r="B452" s="36" t="str">
        <f t="shared" si="12"/>
        <v/>
      </c>
      <c r="C452" s="187"/>
      <c r="D452" s="187"/>
      <c r="E452" s="187"/>
      <c r="F452" s="39"/>
      <c r="G452" s="854"/>
      <c r="H452" s="189"/>
      <c r="I452" s="249"/>
      <c r="J452" s="249"/>
      <c r="K452" s="589"/>
      <c r="L452" s="590"/>
      <c r="M452" s="590"/>
      <c r="N452" s="38" t="str">
        <f>IF(AND('331-CT'!$E$7=TH!H452,OR(L452="331",M452="331")),"331",IF(AND(OR(L452="131",M452="131"),H452='131-CT'!$E$7),"131",""))</f>
        <v/>
      </c>
      <c r="O452" s="38" t="str">
        <f>IF(AND($B452&gt;='111'!$N$11,$B452&lt;='111'!$O$11,OR($L452=$O$7,$M452=$O$7)),"x","")</f>
        <v/>
      </c>
      <c r="P452" s="38" t="str">
        <f>IF(AND($L452=$O$7,$B452&lt;'111'!$N$11),"x","")</f>
        <v/>
      </c>
      <c r="Q452" s="38" t="str">
        <f>IF(AND($M452=$O$7,$B452&lt;'111'!$N$11),"x","")</f>
        <v/>
      </c>
      <c r="R452" s="38" t="str">
        <f>IF(ISERROR(FIND('112'!$M$9,G452,1)),"",IF((AND(FIND('112'!$M$9,G452,1)&gt;=1,$B452&gt;='112'!$N$8,$B452&lt;='112'!$O$8,OR($L452='112'!$I$6,$M452='112'!$I$6))),"x",""))</f>
        <v/>
      </c>
      <c r="S452" s="38" t="str">
        <f>IF(ISERROR(FIND('112'!$M$9,G452,1)),"",IF((AND(LEFT(G452,2)=LEFT('112'!$M$9,2),B452&lt;'112'!$N$8,$L452='112'!$I$6)),"x",""))</f>
        <v/>
      </c>
      <c r="T452" s="38" t="str">
        <f>IF(ISERROR(FIND('112'!$M$9,G452,1)),"",IF((AND(RIGHT(G452,2)=RIGHT('112'!$M$9,2),B452&lt;'112'!$N$8,$M452='112'!$I$6)),"x",""))</f>
        <v/>
      </c>
      <c r="U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38" t="str">
        <f>IF(OR(TH!L452=TH!$V$7,M452=TH!$V$7),"x","")</f>
        <v/>
      </c>
      <c r="W452" s="38" t="str">
        <f>IF(AND(B452&gt;='IN-NX'!$P$3,B452&lt;='IN-NX'!$Q$3,'IN-NX'!$D$7=D452,OR(LEFT(L452,2)="15",AND(LEFT(M452,2)&lt;&gt;"15",LEFT(M452,2)&lt;&gt;"33"))),"x","")</f>
        <v/>
      </c>
      <c r="X452" s="38" t="str">
        <f>IF(AND(OR(LEFT(TH!L452,2)="15",LEFT(TH!M452,2)="15"),'152-CT'!$J$8=TH!F452),"x","")</f>
        <v/>
      </c>
      <c r="Y452" s="38" t="str">
        <f>IF(AND(OR(LEFT(TH!L452,2)="15",LEFT(TH!M452,2)="15"),TK!$E$7=TH!F452),"x","")</f>
        <v/>
      </c>
      <c r="Z452" s="38" t="str">
        <f>IF(AND(B452&lt;=NKC!$N$8,B452&gt;=NKC!$M$8),"x","")</f>
        <v/>
      </c>
      <c r="AA452" s="845"/>
      <c r="AB452" s="581"/>
    </row>
    <row r="453" spans="1:30" s="201" customFormat="1" ht="15.75" customHeight="1">
      <c r="A453" s="846" t="str">
        <f>IF(B453&lt;&gt;"",IF(AND(B453&gt;=_TM1,B453&lt;=_TM2,OR(TH!L453="1111",TH!M453="1111")),TH!D453,""),"")</f>
        <v/>
      </c>
      <c r="B453" s="36" t="str">
        <f t="shared" si="12"/>
        <v/>
      </c>
      <c r="C453" s="187"/>
      <c r="D453" s="187"/>
      <c r="E453" s="187"/>
      <c r="F453" s="39"/>
      <c r="G453" s="854"/>
      <c r="H453" s="189"/>
      <c r="I453" s="249"/>
      <c r="J453" s="249"/>
      <c r="K453" s="589"/>
      <c r="L453" s="590"/>
      <c r="M453" s="590"/>
      <c r="N453" s="38" t="str">
        <f>IF(AND('331-CT'!$E$7=TH!H453,OR(L453="331",M453="331")),"331",IF(AND(OR(L453="131",M453="131"),H453='131-CT'!$E$7),"131",""))</f>
        <v/>
      </c>
      <c r="O453" s="38" t="str">
        <f>IF(AND($B453&gt;='111'!$N$11,$B453&lt;='111'!$O$11,OR($L453=$O$7,$M453=$O$7)),"x","")</f>
        <v/>
      </c>
      <c r="P453" s="38" t="str">
        <f>IF(AND($L453=$O$7,$B453&lt;'111'!$N$11),"x","")</f>
        <v/>
      </c>
      <c r="Q453" s="38" t="str">
        <f>IF(AND($M453=$O$7,$B453&lt;'111'!$N$11),"x","")</f>
        <v/>
      </c>
      <c r="R453" s="38" t="str">
        <f>IF(ISERROR(FIND('112'!$M$9,G453,1)),"",IF((AND(FIND('112'!$M$9,G453,1)&gt;=1,$B453&gt;='112'!$N$8,$B453&lt;='112'!$O$8,OR($L453='112'!$I$6,$M453='112'!$I$6))),"x",""))</f>
        <v/>
      </c>
      <c r="S453" s="38" t="str">
        <f>IF(ISERROR(FIND('112'!$M$9,G453,1)),"",IF((AND(LEFT(G453,2)=LEFT('112'!$M$9,2),B453&lt;'112'!$N$8,$L453='112'!$I$6)),"x",""))</f>
        <v/>
      </c>
      <c r="T453" s="38" t="str">
        <f>IF(ISERROR(FIND('112'!$M$9,G453,1)),"",IF((AND(RIGHT(G453,2)=RIGHT('112'!$M$9,2),B453&lt;'112'!$N$8,$M453='112'!$I$6)),"x",""))</f>
        <v/>
      </c>
      <c r="U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38" t="str">
        <f>IF(OR(TH!L453=TH!$V$7,M453=TH!$V$7),"x","")</f>
        <v/>
      </c>
      <c r="W453" s="38" t="str">
        <f>IF(AND(B453&gt;='IN-NX'!$P$3,B453&lt;='IN-NX'!$Q$3,'IN-NX'!$D$7=D453,OR(LEFT(L453,2)="15",AND(LEFT(M453,2)&lt;&gt;"15",LEFT(M453,2)&lt;&gt;"33"))),"x","")</f>
        <v/>
      </c>
      <c r="X453" s="38" t="str">
        <f>IF(AND(OR(LEFT(TH!L453,2)="15",LEFT(TH!M453,2)="15"),'152-CT'!$J$8=TH!F453),"x","")</f>
        <v/>
      </c>
      <c r="Y453" s="38" t="str">
        <f>IF(AND(OR(LEFT(TH!L453,2)="15",LEFT(TH!M453,2)="15"),TK!$E$7=TH!F453),"x","")</f>
        <v/>
      </c>
      <c r="Z453" s="38" t="str">
        <f>IF(AND(B453&lt;=NKC!$N$8,B453&gt;=NKC!$M$8),"x","")</f>
        <v/>
      </c>
      <c r="AA453" s="845"/>
      <c r="AB453" s="581"/>
    </row>
    <row r="454" spans="1:30" s="201" customFormat="1" ht="15.75" customHeight="1">
      <c r="A454" s="846" t="str">
        <f>IF(B454&lt;&gt;"",IF(AND(B454&gt;=_TM1,B454&lt;=_TM2,OR(TH!L454="1111",TH!M454="1111")),TH!D454,""),"")</f>
        <v/>
      </c>
      <c r="B454" s="36" t="str">
        <f t="shared" si="12"/>
        <v/>
      </c>
      <c r="C454" s="187"/>
      <c r="D454" s="187"/>
      <c r="E454" s="187"/>
      <c r="F454" s="39"/>
      <c r="G454" s="854"/>
      <c r="H454" s="189"/>
      <c r="I454" s="249"/>
      <c r="J454" s="249"/>
      <c r="K454" s="589"/>
      <c r="L454" s="590"/>
      <c r="M454" s="590"/>
      <c r="N454" s="38" t="str">
        <f>IF(AND('331-CT'!$E$7=TH!H454,OR(L454="331",M454="331")),"331",IF(AND(OR(L454="131",M454="131"),H454='131-CT'!$E$7),"131",""))</f>
        <v/>
      </c>
      <c r="O454" s="38" t="str">
        <f>IF(AND($B454&gt;='111'!$N$11,$B454&lt;='111'!$O$11,OR($L454=$O$7,$M454=$O$7)),"x","")</f>
        <v/>
      </c>
      <c r="P454" s="38" t="str">
        <f>IF(AND($L454=$O$7,$B454&lt;'111'!$N$11),"x","")</f>
        <v/>
      </c>
      <c r="Q454" s="38" t="str">
        <f>IF(AND($M454=$O$7,$B454&lt;'111'!$N$11),"x","")</f>
        <v/>
      </c>
      <c r="R454" s="38" t="str">
        <f>IF(ISERROR(FIND('112'!$M$9,G454,1)),"",IF((AND(FIND('112'!$M$9,G454,1)&gt;=1,$B454&gt;='112'!$N$8,$B454&lt;='112'!$O$8,OR($L454='112'!$I$6,$M454='112'!$I$6))),"x",""))</f>
        <v/>
      </c>
      <c r="S454" s="38" t="str">
        <f>IF(ISERROR(FIND('112'!$M$9,G454,1)),"",IF((AND(LEFT(G454,2)=LEFT('112'!$M$9,2),B454&lt;'112'!$N$8,$L454='112'!$I$6)),"x",""))</f>
        <v/>
      </c>
      <c r="T454" s="38" t="str">
        <f>IF(ISERROR(FIND('112'!$M$9,G454,1)),"",IF((AND(RIGHT(G454,2)=RIGHT('112'!$M$9,2),B454&lt;'112'!$N$8,$M454='112'!$I$6)),"x",""))</f>
        <v/>
      </c>
      <c r="U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38" t="str">
        <f>IF(OR(TH!L454=TH!$V$7,M454=TH!$V$7),"x","")</f>
        <v/>
      </c>
      <c r="W454" s="38" t="str">
        <f>IF(AND(B454&gt;='IN-NX'!$P$3,B454&lt;='IN-NX'!$Q$3,'IN-NX'!$D$7=D454,OR(LEFT(L454,2)="15",AND(LEFT(M454,2)&lt;&gt;"15",LEFT(M454,2)&lt;&gt;"33"))),"x","")</f>
        <v/>
      </c>
      <c r="X454" s="38" t="str">
        <f>IF(AND(OR(LEFT(TH!L454,2)="15",LEFT(TH!M454,2)="15"),'152-CT'!$J$8=TH!F454),"x","")</f>
        <v/>
      </c>
      <c r="Y454" s="38" t="str">
        <f>IF(AND(OR(LEFT(TH!L454,2)="15",LEFT(TH!M454,2)="15"),TK!$E$7=TH!F454),"x","")</f>
        <v/>
      </c>
      <c r="Z454" s="38" t="str">
        <f>IF(AND(B454&lt;=NKC!$N$8,B454&gt;=NKC!$M$8),"x","")</f>
        <v/>
      </c>
      <c r="AA454" s="845"/>
      <c r="AB454" s="581"/>
    </row>
    <row r="455" spans="1:30" s="201" customFormat="1" ht="15.75" customHeight="1">
      <c r="A455" s="846" t="str">
        <f>IF(B455&lt;&gt;"",IF(AND(B455&gt;=_TM1,B455&lt;=_TM2,OR(TH!L455="1111",TH!M455="1111")),TH!D455,""),"")</f>
        <v/>
      </c>
      <c r="B455" s="36" t="str">
        <f t="shared" si="12"/>
        <v/>
      </c>
      <c r="C455" s="187"/>
      <c r="D455" s="187"/>
      <c r="E455" s="187"/>
      <c r="F455" s="39"/>
      <c r="G455" s="854"/>
      <c r="H455" s="189"/>
      <c r="I455" s="249"/>
      <c r="J455" s="249"/>
      <c r="K455" s="589"/>
      <c r="L455" s="590"/>
      <c r="M455" s="590"/>
      <c r="N455" s="38" t="str">
        <f>IF(AND('331-CT'!$E$7=TH!H455,OR(L455="331",M455="331")),"331",IF(AND(OR(L455="131",M455="131"),H455='131-CT'!$E$7),"131",""))</f>
        <v/>
      </c>
      <c r="O455" s="38" t="str">
        <f>IF(AND($B455&gt;='111'!$N$11,$B455&lt;='111'!$O$11,OR($L455=$O$7,$M455=$O$7)),"x","")</f>
        <v/>
      </c>
      <c r="P455" s="38" t="str">
        <f>IF(AND($L455=$O$7,$B455&lt;'111'!$N$11),"x","")</f>
        <v/>
      </c>
      <c r="Q455" s="38" t="str">
        <f>IF(AND($M455=$O$7,$B455&lt;'111'!$N$11),"x","")</f>
        <v/>
      </c>
      <c r="R455" s="38" t="str">
        <f>IF(ISERROR(FIND('112'!$M$9,G455,1)),"",IF((AND(FIND('112'!$M$9,G455,1)&gt;=1,$B455&gt;='112'!$N$8,$B455&lt;='112'!$O$8,OR($L455='112'!$I$6,$M455='112'!$I$6))),"x",""))</f>
        <v/>
      </c>
      <c r="S455" s="38" t="str">
        <f>IF(ISERROR(FIND('112'!$M$9,G455,1)),"",IF((AND(LEFT(G455,2)=LEFT('112'!$M$9,2),B455&lt;'112'!$N$8,$L455='112'!$I$6)),"x",""))</f>
        <v/>
      </c>
      <c r="T455" s="38" t="str">
        <f>IF(ISERROR(FIND('112'!$M$9,G455,1)),"",IF((AND(RIGHT(G455,2)=RIGHT('112'!$M$9,2),B455&lt;'112'!$N$8,$M455='112'!$I$6)),"x",""))</f>
        <v/>
      </c>
      <c r="U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38" t="str">
        <f>IF(OR(TH!L455=TH!$V$7,M455=TH!$V$7),"x","")</f>
        <v/>
      </c>
      <c r="W455" s="38" t="str">
        <f>IF(AND(B455&gt;='IN-NX'!$P$3,B455&lt;='IN-NX'!$Q$3,'IN-NX'!$D$7=D455,OR(LEFT(L455,2)="15",AND(LEFT(M455,2)&lt;&gt;"15",LEFT(M455,2)&lt;&gt;"33"))),"x","")</f>
        <v/>
      </c>
      <c r="X455" s="38" t="str">
        <f>IF(AND(OR(LEFT(TH!L455,2)="15",LEFT(TH!M455,2)="15"),'152-CT'!$J$8=TH!F455),"x","")</f>
        <v/>
      </c>
      <c r="Y455" s="38" t="str">
        <f>IF(AND(OR(LEFT(TH!L455,2)="15",LEFT(TH!M455,2)="15"),TK!$E$7=TH!F455),"x","")</f>
        <v/>
      </c>
      <c r="Z455" s="38" t="str">
        <f>IF(AND(B455&lt;=NKC!$N$8,B455&gt;=NKC!$M$8),"x","")</f>
        <v/>
      </c>
      <c r="AA455" s="845"/>
      <c r="AB455" s="581"/>
    </row>
    <row r="456" spans="1:30" s="201" customFormat="1" ht="15.75" customHeight="1">
      <c r="A456" s="846" t="str">
        <f>IF(B456&lt;&gt;"",IF(AND(B456&gt;=_TM1,B456&lt;=_TM2,OR(TH!L456="1111",TH!M456="1111")),TH!D456,""),"")</f>
        <v/>
      </c>
      <c r="B456" s="36" t="str">
        <f t="shared" si="12"/>
        <v/>
      </c>
      <c r="C456" s="187"/>
      <c r="D456" s="187"/>
      <c r="E456" s="187"/>
      <c r="F456" s="810"/>
      <c r="G456" s="854"/>
      <c r="H456" s="189"/>
      <c r="I456" s="249"/>
      <c r="J456" s="249"/>
      <c r="K456" s="589"/>
      <c r="L456" s="590"/>
      <c r="M456" s="590"/>
      <c r="N456" s="38" t="str">
        <f>IF(AND('331-CT'!$E$7=TH!H456,OR(L456="331",M456="331")),"331",IF(AND(OR(L456="131",M456="131"),H456='131-CT'!$E$7),"131",""))</f>
        <v/>
      </c>
      <c r="O456" s="38" t="str">
        <f>IF(AND($B456&gt;='111'!$N$11,$B456&lt;='111'!$O$11,OR($L456=$O$7,$M456=$O$7)),"x","")</f>
        <v/>
      </c>
      <c r="P456" s="38" t="str">
        <f>IF(AND($L456=$O$7,$B456&lt;'111'!$N$11),"x","")</f>
        <v/>
      </c>
      <c r="Q456" s="38" t="str">
        <f>IF(AND($M456=$O$7,$B456&lt;'111'!$N$11),"x","")</f>
        <v/>
      </c>
      <c r="R456" s="38" t="str">
        <f>IF(ISERROR(FIND('112'!$M$9,G456,1)),"",IF((AND(FIND('112'!$M$9,G456,1)&gt;=1,$B456&gt;='112'!$N$8,$B456&lt;='112'!$O$8,OR($L456='112'!$I$6,$M456='112'!$I$6))),"x",""))</f>
        <v/>
      </c>
      <c r="S456" s="38" t="str">
        <f>IF(ISERROR(FIND('112'!$M$9,G456,1)),"",IF((AND(LEFT(G456,2)=LEFT('112'!$M$9,2),B456&lt;'112'!$N$8,$L456='112'!$I$6)),"x",""))</f>
        <v/>
      </c>
      <c r="T456" s="38" t="str">
        <f>IF(ISERROR(FIND('112'!$M$9,G456,1)),"",IF((AND(RIGHT(G456,2)=RIGHT('112'!$M$9,2),B456&lt;'112'!$N$8,$M456='112'!$I$6)),"x",""))</f>
        <v/>
      </c>
      <c r="U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38" t="str">
        <f>IF(OR(TH!L456=TH!$V$7,M456=TH!$V$7),"x","")</f>
        <v/>
      </c>
      <c r="W456" s="38" t="str">
        <f>IF(AND(B456&gt;='IN-NX'!$P$3,B456&lt;='IN-NX'!$Q$3,'IN-NX'!$D$7=D456,OR(LEFT(L456,2)="15",AND(LEFT(M456,2)&lt;&gt;"15",LEFT(M456,2)&lt;&gt;"33"))),"x","")</f>
        <v/>
      </c>
      <c r="X456" s="38" t="str">
        <f>IF(AND(OR(LEFT(TH!L456,2)="15",LEFT(TH!M456,2)="15"),'152-CT'!$J$8=TH!F456),"x","")</f>
        <v/>
      </c>
      <c r="Y456" s="38" t="str">
        <f>IF(AND(OR(LEFT(TH!L456,2)="15",LEFT(TH!M456,2)="15"),TK!$E$7=TH!F456),"x","")</f>
        <v/>
      </c>
      <c r="Z456" s="38" t="str">
        <f>IF(AND(B456&lt;=NKC!$N$8,B456&gt;=NKC!$M$8),"x","")</f>
        <v/>
      </c>
      <c r="AA456" s="845"/>
      <c r="AB456" s="581"/>
    </row>
    <row r="457" spans="1:30" s="201" customFormat="1" ht="15.75" customHeight="1">
      <c r="A457" s="846" t="str">
        <f>IF(B457&lt;&gt;"",IF(AND(B457&gt;=_TM1,B457&lt;=_TM2,OR(TH!L457="1111",TH!M457="1111")),TH!D457,""),"")</f>
        <v/>
      </c>
      <c r="B457" s="36" t="str">
        <f t="shared" si="12"/>
        <v/>
      </c>
      <c r="C457" s="187"/>
      <c r="D457" s="187"/>
      <c r="E457" s="187"/>
      <c r="F457" s="188"/>
      <c r="G457" s="854"/>
      <c r="H457" s="189"/>
      <c r="I457" s="249"/>
      <c r="J457" s="249"/>
      <c r="K457" s="589"/>
      <c r="L457" s="590"/>
      <c r="M457" s="590"/>
      <c r="N457" s="38" t="str">
        <f>IF(AND('331-CT'!$E$7=TH!H457,OR(L457="331",M457="331")),"331",IF(AND(OR(L457="131",M457="131"),H457='131-CT'!$E$7),"131",""))</f>
        <v/>
      </c>
      <c r="O457" s="38" t="str">
        <f>IF(AND($B457&gt;='111'!$N$11,$B457&lt;='111'!$O$11,OR($L457=$O$7,$M457=$O$7)),"x","")</f>
        <v/>
      </c>
      <c r="P457" s="38" t="str">
        <f>IF(AND($L457=$O$7,$B457&lt;'111'!$N$11),"x","")</f>
        <v/>
      </c>
      <c r="Q457" s="38" t="str">
        <f>IF(AND($M457=$O$7,$B457&lt;'111'!$N$11),"x","")</f>
        <v/>
      </c>
      <c r="R457" s="38" t="str">
        <f>IF(ISERROR(FIND('112'!$M$9,G457,1)),"",IF((AND(FIND('112'!$M$9,G457,1)&gt;=1,$B457&gt;='112'!$N$8,$B457&lt;='112'!$O$8,OR($L457='112'!$I$6,$M457='112'!$I$6))),"x",""))</f>
        <v/>
      </c>
      <c r="S457" s="38" t="str">
        <f>IF(ISERROR(FIND('112'!$M$9,G457,1)),"",IF((AND(LEFT(G457,2)=LEFT('112'!$M$9,2),B457&lt;'112'!$N$8,$L457='112'!$I$6)),"x",""))</f>
        <v/>
      </c>
      <c r="T457" s="38" t="str">
        <f>IF(ISERROR(FIND('112'!$M$9,G457,1)),"",IF((AND(RIGHT(G457,2)=RIGHT('112'!$M$9,2),B457&lt;'112'!$N$8,$M457='112'!$I$6)),"x",""))</f>
        <v/>
      </c>
      <c r="U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V457" s="38" t="str">
        <f>IF(OR(TH!L457=TH!$V$7,M457=TH!$V$7),"x","")</f>
        <v/>
      </c>
      <c r="W457" s="38" t="str">
        <f>IF(AND(B457&gt;='IN-NX'!$P$3,B457&lt;='IN-NX'!$Q$3,'IN-NX'!$D$7=D457,OR(LEFT(L457,2)="15",AND(LEFT(M457,2)&lt;&gt;"15",LEFT(M457,2)&lt;&gt;"33"))),"x","")</f>
        <v/>
      </c>
      <c r="X457" s="38" t="str">
        <f>IF(AND(OR(LEFT(TH!L457,2)="15",LEFT(TH!M457,2)="15"),'152-CT'!$J$8=TH!F457),"x","")</f>
        <v/>
      </c>
      <c r="Y457" s="38" t="str">
        <f>IF(AND(OR(LEFT(TH!L457,2)="15",LEFT(TH!M457,2)="15"),TK!$E$7=TH!F457),"x","")</f>
        <v/>
      </c>
      <c r="Z457" s="38" t="str">
        <f>IF(AND(B457&lt;=NKC!$N$8,B457&gt;=NKC!$M$8),"x","")</f>
        <v/>
      </c>
      <c r="AA457" s="845"/>
      <c r="AB457" s="581"/>
    </row>
    <row r="458" spans="1:30" s="201" customFormat="1" ht="15.75" customHeight="1">
      <c r="A458" s="846" t="str">
        <f>IF(B458&lt;&gt;"",IF(AND(B458&gt;=_TM1,B458&lt;=_TM2,OR(TH!L458="1111",TH!M458="1111")),TH!D458,""),"")</f>
        <v/>
      </c>
      <c r="B458" s="36" t="str">
        <f t="shared" si="12"/>
        <v/>
      </c>
      <c r="C458" s="187"/>
      <c r="D458" s="187"/>
      <c r="E458" s="187"/>
      <c r="F458" s="39"/>
      <c r="G458" s="854"/>
      <c r="H458" s="189"/>
      <c r="I458" s="249"/>
      <c r="J458" s="249"/>
      <c r="K458" s="589"/>
      <c r="L458" s="590"/>
      <c r="M458" s="590"/>
      <c r="N458" s="38" t="str">
        <f>IF(AND('331-CT'!$E$7=TH!H458,OR(L458="331",M458="331")),"331",IF(AND(OR(L458="131",M458="131"),H458='131-CT'!$E$7),"131",""))</f>
        <v/>
      </c>
      <c r="O458" s="38" t="str">
        <f>IF(AND($B458&gt;='111'!$N$11,$B458&lt;='111'!$O$11,OR($L458=$O$7,$M458=$O$7)),"x","")</f>
        <v/>
      </c>
      <c r="P458" s="38" t="str">
        <f>IF(AND($L458=$O$7,$B458&lt;'111'!$N$11),"x","")</f>
        <v/>
      </c>
      <c r="Q458" s="38" t="str">
        <f>IF(AND($M458=$O$7,$B458&lt;'111'!$N$11),"x","")</f>
        <v/>
      </c>
      <c r="R458" s="38" t="str">
        <f>IF(ISERROR(FIND('112'!$M$9,G458,1)),"",IF((AND(FIND('112'!$M$9,G458,1)&gt;=1,$B458&gt;='112'!$N$8,$B458&lt;='112'!$O$8,OR($L458='112'!$I$6,$M458='112'!$I$6))),"x",""))</f>
        <v/>
      </c>
      <c r="S458" s="38" t="str">
        <f>IF(ISERROR(FIND('112'!$M$9,G458,1)),"",IF((AND(LEFT(G458,2)=LEFT('112'!$M$9,2),B458&lt;'112'!$N$8,$L458='112'!$I$6)),"x",""))</f>
        <v/>
      </c>
      <c r="T458" s="38" t="str">
        <f>IF(ISERROR(FIND('112'!$M$9,G458,1)),"",IF((AND(RIGHT(G458,2)=RIGHT('112'!$M$9,2),B458&lt;'112'!$N$8,$M458='112'!$I$6)),"x",""))</f>
        <v/>
      </c>
      <c r="U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V458" s="38" t="str">
        <f>IF(OR(TH!L458=TH!$V$7,M458=TH!$V$7),"x","")</f>
        <v/>
      </c>
      <c r="W458" s="38" t="str">
        <f>IF(AND(B458&gt;='IN-NX'!$P$3,B458&lt;='IN-NX'!$Q$3,'IN-NX'!$D$7=D458,OR(LEFT(L458,2)="15",AND(LEFT(M458,2)&lt;&gt;"15",LEFT(M458,2)&lt;&gt;"33"))),"x","")</f>
        <v/>
      </c>
      <c r="X458" s="38" t="str">
        <f>IF(AND(OR(LEFT(TH!L458,2)="15",LEFT(TH!M458,2)="15"),'152-CT'!$J$8=TH!F458),"x","")</f>
        <v/>
      </c>
      <c r="Y458" s="38" t="str">
        <f>IF(AND(OR(LEFT(TH!L458,2)="15",LEFT(TH!M458,2)="15"),TK!$E$7=TH!F458),"x","")</f>
        <v/>
      </c>
      <c r="Z458" s="38" t="str">
        <f>IF(AND(B458&lt;=NKC!$N$8,B458&gt;=NKC!$M$8),"x","")</f>
        <v/>
      </c>
      <c r="AA458" s="845"/>
      <c r="AB458" s="581"/>
    </row>
    <row r="459" spans="1:30" s="201" customFormat="1" ht="15.75" customHeight="1">
      <c r="A459" s="846" t="str">
        <f>IF(B459&lt;&gt;"",IF(AND(B459&gt;=_TM1,B459&lt;=_TM2,OR(TH!L459="1111",TH!M459="1111")),TH!D459,""),"")</f>
        <v/>
      </c>
      <c r="B459" s="36" t="str">
        <f t="shared" si="12"/>
        <v/>
      </c>
      <c r="C459" s="187"/>
      <c r="D459" s="187"/>
      <c r="E459" s="187"/>
      <c r="F459" s="39"/>
      <c r="G459" s="854"/>
      <c r="H459" s="189"/>
      <c r="I459" s="249"/>
      <c r="J459" s="249"/>
      <c r="K459" s="589"/>
      <c r="L459" s="590"/>
      <c r="M459" s="590"/>
      <c r="N459" s="38" t="str">
        <f>IF(AND('331-CT'!$E$7=TH!H459,OR(L459="331",M459="331")),"331",IF(AND(OR(L459="131",M459="131"),H459='131-CT'!$E$7),"131",""))</f>
        <v/>
      </c>
      <c r="O459" s="38" t="str">
        <f>IF(AND($B459&gt;='111'!$N$11,$B459&lt;='111'!$O$11,OR($L459=$O$7,$M459=$O$7)),"x","")</f>
        <v/>
      </c>
      <c r="P459" s="38" t="str">
        <f>IF(AND($L459=$O$7,$B459&lt;'111'!$N$11),"x","")</f>
        <v/>
      </c>
      <c r="Q459" s="38" t="str">
        <f>IF(AND($M459=$O$7,$B459&lt;'111'!$N$11),"x","")</f>
        <v/>
      </c>
      <c r="R459" s="38" t="str">
        <f>IF(ISERROR(FIND('112'!$M$9,G459,1)),"",IF((AND(FIND('112'!$M$9,G459,1)&gt;=1,$B459&gt;='112'!$N$8,$B459&lt;='112'!$O$8,OR($L459='112'!$I$6,$M459='112'!$I$6))),"x",""))</f>
        <v/>
      </c>
      <c r="S459" s="38" t="str">
        <f>IF(ISERROR(FIND('112'!$M$9,G459,1)),"",IF((AND(LEFT(G459,2)=LEFT('112'!$M$9,2),B459&lt;'112'!$N$8,$L459='112'!$I$6)),"x",""))</f>
        <v/>
      </c>
      <c r="T459" s="38" t="str">
        <f>IF(ISERROR(FIND('112'!$M$9,G459,1)),"",IF((AND(RIGHT(G459,2)=RIGHT('112'!$M$9,2),B459&lt;'112'!$N$8,$M459='112'!$I$6)),"x",""))</f>
        <v/>
      </c>
      <c r="U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38" t="str">
        <f>IF(OR(TH!L459=TH!$V$7,M459=TH!$V$7),"x","")</f>
        <v/>
      </c>
      <c r="W459" s="38" t="str">
        <f>IF(AND(B459&gt;='IN-NX'!$P$3,B459&lt;='IN-NX'!$Q$3,'IN-NX'!$D$7=D459,OR(LEFT(L459,2)="15",AND(LEFT(M459,2)&lt;&gt;"15",LEFT(M459,2)&lt;&gt;"33"))),"x","")</f>
        <v/>
      </c>
      <c r="X459" s="38" t="str">
        <f>IF(AND(OR(LEFT(TH!L459,2)="15",LEFT(TH!M459,2)="15"),'152-CT'!$J$8=TH!F459),"x","")</f>
        <v/>
      </c>
      <c r="Y459" s="38" t="str">
        <f>IF(AND(OR(LEFT(TH!L459,2)="15",LEFT(TH!M459,2)="15"),TK!$E$7=TH!F459),"x","")</f>
        <v/>
      </c>
      <c r="Z459" s="38" t="str">
        <f>IF(AND(B459&lt;=NKC!$N$8,B459&gt;=NKC!$M$8),"x","")</f>
        <v/>
      </c>
      <c r="AA459" s="845"/>
      <c r="AB459" s="581"/>
    </row>
    <row r="460" spans="1:30" s="201" customFormat="1" ht="15.75" customHeight="1">
      <c r="A460" s="846" t="str">
        <f>IF(B460&lt;&gt;"",IF(AND(B460&gt;=_TM1,B460&lt;=_TM2,OR(TH!L460="1111",TH!M460="1111")),TH!D460,""),"")</f>
        <v/>
      </c>
      <c r="B460" s="36" t="str">
        <f t="shared" si="12"/>
        <v/>
      </c>
      <c r="C460" s="187"/>
      <c r="D460" s="187"/>
      <c r="E460" s="187"/>
      <c r="F460" s="188"/>
      <c r="G460" s="854"/>
      <c r="H460" s="189"/>
      <c r="I460" s="249"/>
      <c r="J460" s="249"/>
      <c r="K460" s="589"/>
      <c r="L460" s="590"/>
      <c r="M460" s="590"/>
      <c r="N460" s="38" t="str">
        <f>IF(AND('331-CT'!$E$7=TH!H460,OR(L460="331",M460="331")),"331",IF(AND(OR(L460="131",M460="131"),H460='131-CT'!$E$7),"131",""))</f>
        <v/>
      </c>
      <c r="O460" s="38" t="str">
        <f>IF(AND($B460&gt;='111'!$N$11,$B460&lt;='111'!$O$11,OR($L460=$O$7,$M460=$O$7)),"x","")</f>
        <v/>
      </c>
      <c r="P460" s="38" t="str">
        <f>IF(AND($L460=$O$7,$B460&lt;'111'!$N$11),"x","")</f>
        <v/>
      </c>
      <c r="Q460" s="38" t="str">
        <f>IF(AND($M460=$O$7,$B460&lt;'111'!$N$11),"x","")</f>
        <v/>
      </c>
      <c r="R460" s="38" t="str">
        <f>IF(ISERROR(FIND('112'!$M$9,G460,1)),"",IF((AND(FIND('112'!$M$9,G460,1)&gt;=1,$B460&gt;='112'!$N$8,$B460&lt;='112'!$O$8,OR($L460='112'!$I$6,$M460='112'!$I$6))),"x",""))</f>
        <v/>
      </c>
      <c r="S460" s="38" t="str">
        <f>IF(ISERROR(FIND('112'!$M$9,G460,1)),"",IF((AND(LEFT(G460,2)=LEFT('112'!$M$9,2),B460&lt;'112'!$N$8,$L460='112'!$I$6)),"x",""))</f>
        <v/>
      </c>
      <c r="T460" s="38" t="str">
        <f>IF(ISERROR(FIND('112'!$M$9,G460,1)),"",IF((AND(RIGHT(G460,2)=RIGHT('112'!$M$9,2),B460&lt;'112'!$N$8,$M460='112'!$I$6)),"x",""))</f>
        <v/>
      </c>
      <c r="U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38" t="str">
        <f>IF(OR(TH!L460=TH!$V$7,M460=TH!$V$7),"x","")</f>
        <v/>
      </c>
      <c r="W460" s="38" t="str">
        <f>IF(AND(B460&gt;='IN-NX'!$P$3,B460&lt;='IN-NX'!$Q$3,'IN-NX'!$D$7=D460,OR(LEFT(L460,2)="15",AND(LEFT(M460,2)&lt;&gt;"15",LEFT(M460,2)&lt;&gt;"33"))),"x","")</f>
        <v/>
      </c>
      <c r="X460" s="38" t="str">
        <f>IF(AND(OR(LEFT(TH!L460,2)="15",LEFT(TH!M460,2)="15"),'152-CT'!$J$8=TH!F460),"x","")</f>
        <v/>
      </c>
      <c r="Y460" s="38" t="str">
        <f>IF(AND(OR(LEFT(TH!L460,2)="15",LEFT(TH!M460,2)="15"),TK!$E$7=TH!F460),"x","")</f>
        <v/>
      </c>
      <c r="Z460" s="38" t="str">
        <f>IF(AND(B460&lt;=NKC!$N$8,B460&gt;=NKC!$M$8),"x","")</f>
        <v/>
      </c>
      <c r="AA460" s="845"/>
      <c r="AB460" s="581"/>
    </row>
    <row r="461" spans="1:30" s="201" customFormat="1" ht="15.75" customHeight="1">
      <c r="A461" s="846" t="str">
        <f>IF(B461&lt;&gt;"",IF(AND(B461&gt;=_TM1,B461&lt;=_TM2,OR(TH!L461="1111",TH!M461="1111")),TH!D461,""),"")</f>
        <v/>
      </c>
      <c r="B461" s="36" t="str">
        <f t="shared" si="12"/>
        <v/>
      </c>
      <c r="C461" s="187"/>
      <c r="D461" s="187"/>
      <c r="E461" s="187"/>
      <c r="F461" s="188"/>
      <c r="G461" s="854"/>
      <c r="H461" s="189"/>
      <c r="I461" s="249"/>
      <c r="J461" s="249"/>
      <c r="K461" s="589"/>
      <c r="L461" s="590"/>
      <c r="M461" s="590"/>
      <c r="N461" s="38" t="str">
        <f>IF(AND('331-CT'!$E$7=TH!H461,OR(L461="331",M461="331")),"331",IF(AND(OR(L461="131",M461="131"),H461='131-CT'!$E$7),"131",""))</f>
        <v/>
      </c>
      <c r="O461" s="38" t="str">
        <f>IF(AND($B461&gt;='111'!$N$11,$B461&lt;='111'!$O$11,OR($L461=$O$7,$M461=$O$7)),"x","")</f>
        <v/>
      </c>
      <c r="P461" s="38" t="str">
        <f>IF(AND($L461=$O$7,$B461&lt;'111'!$N$11),"x","")</f>
        <v/>
      </c>
      <c r="Q461" s="38" t="str">
        <f>IF(AND($M461=$O$7,$B461&lt;'111'!$N$11),"x","")</f>
        <v/>
      </c>
      <c r="R461" s="38" t="str">
        <f>IF(ISERROR(FIND('112'!$M$9,G461,1)),"",IF((AND(FIND('112'!$M$9,G461,1)&gt;=1,$B461&gt;='112'!$N$8,$B461&lt;='112'!$O$8,OR($L461='112'!$I$6,$M461='112'!$I$6))),"x",""))</f>
        <v/>
      </c>
      <c r="S461" s="38" t="str">
        <f>IF(ISERROR(FIND('112'!$M$9,G461,1)),"",IF((AND(LEFT(G461,2)=LEFT('112'!$M$9,2),B461&lt;'112'!$N$8,$L461='112'!$I$6)),"x",""))</f>
        <v/>
      </c>
      <c r="T461" s="38" t="str">
        <f>IF(ISERROR(FIND('112'!$M$9,G461,1)),"",IF((AND(RIGHT(G461,2)=RIGHT('112'!$M$9,2),B461&lt;'112'!$N$8,$M461='112'!$I$6)),"x",""))</f>
        <v/>
      </c>
      <c r="U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38" t="str">
        <f>IF(OR(TH!L461=TH!$V$7,M461=TH!$V$7),"x","")</f>
        <v/>
      </c>
      <c r="W461" s="38" t="str">
        <f>IF(AND(B461&gt;='IN-NX'!$P$3,B461&lt;='IN-NX'!$Q$3,'IN-NX'!$D$7=D461,OR(LEFT(L461,2)="15",AND(LEFT(M461,2)&lt;&gt;"15",LEFT(M461,2)&lt;&gt;"33"))),"x","")</f>
        <v/>
      </c>
      <c r="X461" s="38" t="str">
        <f>IF(AND(OR(LEFT(TH!L461,2)="15",LEFT(TH!M461,2)="15"),'152-CT'!$J$8=TH!F461),"x","")</f>
        <v/>
      </c>
      <c r="Y461" s="38" t="str">
        <f>IF(AND(OR(LEFT(TH!L461,2)="15",LEFT(TH!M461,2)="15"),TK!$E$7=TH!F461),"x","")</f>
        <v/>
      </c>
      <c r="Z461" s="38" t="str">
        <f>IF(AND(B461&lt;=NKC!$N$8,B461&gt;=NKC!$M$8),"x","")</f>
        <v/>
      </c>
      <c r="AA461" s="845"/>
      <c r="AB461" s="581"/>
    </row>
    <row r="462" spans="1:30" s="201" customFormat="1" ht="15.75" customHeight="1">
      <c r="A462" s="846" t="str">
        <f>IF(B462&lt;&gt;"",IF(AND(B462&gt;=_TM1,B462&lt;=_TM2,OR(TH!L462="1111",TH!M462="1111")),TH!D462,""),"")</f>
        <v/>
      </c>
      <c r="B462" s="36" t="str">
        <f t="shared" si="12"/>
        <v/>
      </c>
      <c r="C462" s="187"/>
      <c r="D462" s="187"/>
      <c r="E462" s="187"/>
      <c r="F462" s="188"/>
      <c r="G462" s="854"/>
      <c r="H462" s="189"/>
      <c r="I462" s="250"/>
      <c r="J462" s="250"/>
      <c r="K462" s="589"/>
      <c r="L462" s="590"/>
      <c r="M462" s="590"/>
      <c r="N462" s="38" t="str">
        <f>IF(AND('331-CT'!$E$7=TH!H462,OR(L462="331",M462="331")),"331",IF(AND(OR(L462="131",M462="131"),H462='131-CT'!$E$7),"131",""))</f>
        <v/>
      </c>
      <c r="O462" s="38" t="str">
        <f>IF(AND($B462&gt;='111'!$N$11,$B462&lt;='111'!$O$11,OR($L462=$O$7,$M462=$O$7)),"x","")</f>
        <v/>
      </c>
      <c r="P462" s="38" t="str">
        <f>IF(AND($L462=$O$7,$B462&lt;'111'!$N$11),"x","")</f>
        <v/>
      </c>
      <c r="Q462" s="38" t="str">
        <f>IF(AND($M462=$O$7,$B462&lt;'111'!$N$11),"x","")</f>
        <v/>
      </c>
      <c r="R462" s="38" t="str">
        <f>IF(ISERROR(FIND('112'!$M$9,G462,1)),"",IF((AND(FIND('112'!$M$9,G462,1)&gt;=1,$B462&gt;='112'!$N$8,$B462&lt;='112'!$O$8,OR($L462='112'!$I$6,$M462='112'!$I$6))),"x",""))</f>
        <v/>
      </c>
      <c r="S462" s="38" t="str">
        <f>IF(ISERROR(FIND('112'!$M$9,G462,1)),"",IF((AND(LEFT(G462,2)=LEFT('112'!$M$9,2),B462&lt;'112'!$N$8,$L462='112'!$I$6)),"x",""))</f>
        <v/>
      </c>
      <c r="T462" s="38" t="str">
        <f>IF(ISERROR(FIND('112'!$M$9,G462,1)),"",IF((AND(RIGHT(G462,2)=RIGHT('112'!$M$9,2),B462&lt;'112'!$N$8,$M462='112'!$I$6)),"x",""))</f>
        <v/>
      </c>
      <c r="U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38" t="str">
        <f>IF(OR(TH!L462=TH!$V$7,M462=TH!$V$7),"x","")</f>
        <v/>
      </c>
      <c r="W462" s="38" t="str">
        <f>IF(AND(B462&gt;='IN-NX'!$P$3,B462&lt;='IN-NX'!$Q$3,'IN-NX'!$D$7=D462,OR(LEFT(L462,2)="15",AND(LEFT(M462,2)&lt;&gt;"15",LEFT(M462,2)&lt;&gt;"33"))),"x","")</f>
        <v/>
      </c>
      <c r="X462" s="38" t="str">
        <f>IF(AND(OR(LEFT(TH!L462,2)="15",LEFT(TH!M462,2)="15"),'152-CT'!$J$8=TH!F462),"x","")</f>
        <v/>
      </c>
      <c r="Y462" s="38" t="str">
        <f>IF(AND(OR(LEFT(TH!L462,2)="15",LEFT(TH!M462,2)="15"),TK!$E$7=TH!F462),"x","")</f>
        <v/>
      </c>
      <c r="Z462" s="38" t="str">
        <f>IF(AND(B462&lt;=NKC!$N$8,B462&gt;=NKC!$M$8),"x","")</f>
        <v/>
      </c>
      <c r="AA462" s="845"/>
      <c r="AB462" s="581"/>
    </row>
    <row r="463" spans="1:30" s="201" customFormat="1" ht="15.75" customHeight="1">
      <c r="A463" s="846" t="str">
        <f>IF(B463&lt;&gt;"",IF(AND(B463&gt;=_TM1,B463&lt;=_TM2,OR(TH!L463="1111",TH!M463="1111")),TH!D463,""),"")</f>
        <v/>
      </c>
      <c r="B463" s="36" t="str">
        <f t="shared" si="12"/>
        <v/>
      </c>
      <c r="C463" s="187"/>
      <c r="D463" s="187"/>
      <c r="E463" s="187"/>
      <c r="F463" s="188"/>
      <c r="G463" s="854"/>
      <c r="H463" s="189"/>
      <c r="I463" s="249"/>
      <c r="J463" s="249"/>
      <c r="K463" s="589"/>
      <c r="L463" s="590"/>
      <c r="M463" s="590"/>
      <c r="N463" s="50" t="str">
        <f>IF(AND('331-CT'!$E$7=TH!H463,OR(L463="331",M463="331")),"331",IF(AND(OR(L463="131",M463="131"),H463='131-CT'!$E$7),"131",""))</f>
        <v/>
      </c>
      <c r="O463" s="50" t="str">
        <f>IF(AND($B463&gt;='111'!$N$11,$B463&lt;='111'!$O$11,OR($L463=$O$7,$M463=$O$7)),"x","")</f>
        <v/>
      </c>
      <c r="P463" s="50" t="str">
        <f>IF(AND($L463=$O$7,$B463&lt;'111'!$N$11),"x","")</f>
        <v/>
      </c>
      <c r="Q463" s="50" t="str">
        <f>IF(AND($M463=$O$7,$B463&lt;'111'!$N$11),"x","")</f>
        <v/>
      </c>
      <c r="R463" s="50" t="str">
        <f>IF(ISERROR(FIND('112'!$M$9,G463,1)),"",IF((AND(FIND('112'!$M$9,G463,1)&gt;=1,$B463&gt;='112'!$N$8,$B463&lt;='112'!$O$8,OR($L463='112'!$I$6,$M463='112'!$I$6))),"x",""))</f>
        <v/>
      </c>
      <c r="S463" s="50" t="str">
        <f>IF(ISERROR(FIND('112'!$M$9,G463,1)),"",IF((AND(LEFT(G463,2)=LEFT('112'!$M$9,2),B463&lt;'112'!$N$8,$L463='112'!$I$6)),"x",""))</f>
        <v/>
      </c>
      <c r="T463" s="50" t="str">
        <f>IF(ISERROR(FIND('112'!$M$9,G463,1)),"",IF((AND(RIGHT(G463,2)=RIGHT('112'!$M$9,2),B463&lt;'112'!$N$8,$M463='112'!$I$6)),"x",""))</f>
        <v/>
      </c>
      <c r="U463" s="50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0" t="str">
        <f>IF(OR(TH!L463=TH!$V$7,M463=TH!$V$7),"x","")</f>
        <v/>
      </c>
      <c r="W463" s="50" t="str">
        <f>IF(AND(B463&gt;='IN-NX'!$P$3,B463&lt;='IN-NX'!$Q$3,'IN-NX'!$D$7=D463,OR(LEFT(L463,2)="15",AND(LEFT(M463,2)&lt;&gt;"15",LEFT(M463,2)&lt;&gt;"33"))),"x","")</f>
        <v/>
      </c>
      <c r="X463" s="50" t="str">
        <f>IF(AND(OR(LEFT(TH!L463,2)="15",LEFT(TH!M463,2)="15"),'152-CT'!$J$8=TH!F463),"x","")</f>
        <v/>
      </c>
      <c r="Y463" s="50" t="str">
        <f>IF(AND(OR(LEFT(TH!L463,2)="15",LEFT(TH!M463,2)="15"),TK!$E$7=TH!F463),"x","")</f>
        <v/>
      </c>
      <c r="Z463" s="50" t="str">
        <f>IF(AND(B463&lt;=NKC!$N$8,B463&gt;=NKC!$M$8),"x","")</f>
        <v/>
      </c>
      <c r="AA463" s="845"/>
      <c r="AB463" s="581"/>
      <c r="AD463" s="581"/>
    </row>
    <row r="464" spans="1:30" s="201" customFormat="1" ht="15.75" customHeight="1">
      <c r="A464" s="846" t="str">
        <f>IF(B464&lt;&gt;"",IF(AND(B464&gt;=_TM1,B464&lt;=_TM2,OR(TH!L464="1111",TH!M464="1111")),TH!D464,""),"")</f>
        <v/>
      </c>
      <c r="B464" s="36" t="str">
        <f t="shared" ref="B464:B518" si="13">IF(C464&lt;&gt;"",MONTH(C464),"")</f>
        <v/>
      </c>
      <c r="C464" s="187"/>
      <c r="D464" s="187"/>
      <c r="E464" s="187"/>
      <c r="F464" s="188"/>
      <c r="G464" s="854"/>
      <c r="H464" s="189"/>
      <c r="I464" s="249"/>
      <c r="J464" s="249"/>
      <c r="K464" s="589"/>
      <c r="L464" s="590"/>
      <c r="M464" s="590"/>
      <c r="N464" s="38" t="str">
        <f>IF(AND('331-CT'!$E$7=TH!H464,OR(L464="331",M464="331")),"331",IF(AND(OR(L464="131",M464="131"),H464='131-CT'!$E$7),"131",""))</f>
        <v/>
      </c>
      <c r="O464" s="38" t="str">
        <f>IF(AND($B464&gt;='111'!$N$11,$B464&lt;='111'!$O$11,OR($L464=$O$7,$M464=$O$7)),"x","")</f>
        <v/>
      </c>
      <c r="P464" s="38" t="str">
        <f>IF(AND($L464=$O$7,$B464&lt;'111'!$N$11),"x","")</f>
        <v/>
      </c>
      <c r="Q464" s="38" t="str">
        <f>IF(AND($M464=$O$7,$B464&lt;'111'!$N$11),"x","")</f>
        <v/>
      </c>
      <c r="R464" s="38" t="str">
        <f>IF(ISERROR(FIND('112'!$M$9,G464,1)),"",IF((AND(FIND('112'!$M$9,G464,1)&gt;=1,$B464&gt;='112'!$N$8,$B464&lt;='112'!$O$8,OR($L464='112'!$I$6,$M464='112'!$I$6))),"x",""))</f>
        <v/>
      </c>
      <c r="S464" s="38" t="str">
        <f>IF(ISERROR(FIND('112'!$M$9,G464,1)),"",IF((AND(LEFT(G464,2)=LEFT('112'!$M$9,2),B464&lt;'112'!$N$8,$L464='112'!$I$6)),"x",""))</f>
        <v/>
      </c>
      <c r="T464" s="38" t="str">
        <f>IF(ISERROR(FIND('112'!$M$9,G464,1)),"",IF((AND(RIGHT(G464,2)=RIGHT('112'!$M$9,2),B464&lt;'112'!$N$8,$M464='112'!$I$6)),"x",""))</f>
        <v/>
      </c>
      <c r="U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38" t="str">
        <f>IF(OR(TH!L464=TH!$V$7,M464=TH!$V$7),"x","")</f>
        <v/>
      </c>
      <c r="W464" s="38" t="str">
        <f>IF(AND(B464&gt;='IN-NX'!$P$3,B464&lt;='IN-NX'!$Q$3,'IN-NX'!$D$7=D464,OR(LEFT(L464,2)="15",AND(LEFT(M464,2)&lt;&gt;"15",LEFT(M464,2)&lt;&gt;"33"))),"x","")</f>
        <v/>
      </c>
      <c r="X464" s="38" t="str">
        <f>IF(AND(OR(LEFT(TH!L464,2)="15",LEFT(TH!M464,2)="15"),'152-CT'!$J$8=TH!F464),"x","")</f>
        <v/>
      </c>
      <c r="Y464" s="38" t="str">
        <f>IF(AND(OR(LEFT(TH!L464,2)="15",LEFT(TH!M464,2)="15"),TK!$E$7=TH!F464),"x","")</f>
        <v/>
      </c>
      <c r="Z464" s="38" t="str">
        <f>IF(AND(B464&lt;=NKC!$N$8,B464&gt;=NKC!$M$8),"x","")</f>
        <v/>
      </c>
      <c r="AA464" s="845"/>
      <c r="AB464" s="581"/>
    </row>
    <row r="465" spans="1:28" s="201" customFormat="1" ht="15.75" customHeight="1">
      <c r="A465" s="846" t="str">
        <f>IF(B465&lt;&gt;"",IF(AND(B465&gt;=_TM1,B465&lt;=_TM2,OR(TH!L465="1111",TH!M465="1111")),TH!D465,""),"")</f>
        <v/>
      </c>
      <c r="B465" s="36" t="str">
        <f t="shared" si="13"/>
        <v/>
      </c>
      <c r="C465" s="187"/>
      <c r="D465" s="187"/>
      <c r="E465" s="187"/>
      <c r="F465" s="188"/>
      <c r="G465" s="854"/>
      <c r="H465" s="189"/>
      <c r="I465" s="249"/>
      <c r="J465" s="249"/>
      <c r="K465" s="589"/>
      <c r="L465" s="590"/>
      <c r="M465" s="590"/>
      <c r="N465" s="38" t="str">
        <f>IF(AND('331-CT'!$E$7=TH!H465,OR(L465="331",M465="331")),"331",IF(AND(OR(L465="131",M465="131"),H465='131-CT'!$E$7),"131",""))</f>
        <v/>
      </c>
      <c r="O465" s="38" t="str">
        <f>IF(AND($B465&gt;='111'!$N$11,$B465&lt;='111'!$O$11,OR($L465=$O$7,$M465=$O$7)),"x","")</f>
        <v/>
      </c>
      <c r="P465" s="38" t="str">
        <f>IF(AND($L465=$O$7,$B465&lt;'111'!$N$11),"x","")</f>
        <v/>
      </c>
      <c r="Q465" s="38" t="str">
        <f>IF(AND($M465=$O$7,$B465&lt;'111'!$N$11),"x","")</f>
        <v/>
      </c>
      <c r="R465" s="38" t="str">
        <f>IF(ISERROR(FIND('112'!$M$9,G465,1)),"",IF((AND(FIND('112'!$M$9,G465,1)&gt;=1,$B465&gt;='112'!$N$8,$B465&lt;='112'!$O$8,OR($L465='112'!$I$6,$M465='112'!$I$6))),"x",""))</f>
        <v/>
      </c>
      <c r="S465" s="38" t="str">
        <f>IF(ISERROR(FIND('112'!$M$9,G465,1)),"",IF((AND(LEFT(G465,2)=LEFT('112'!$M$9,2),B465&lt;'112'!$N$8,$L465='112'!$I$6)),"x",""))</f>
        <v/>
      </c>
      <c r="T465" s="38" t="str">
        <f>IF(ISERROR(FIND('112'!$M$9,G465,1)),"",IF((AND(RIGHT(G465,2)=RIGHT('112'!$M$9,2),B465&lt;'112'!$N$8,$M465='112'!$I$6)),"x",""))</f>
        <v/>
      </c>
      <c r="U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38" t="str">
        <f>IF(OR(TH!L465=TH!$V$7,M465=TH!$V$7),"x","")</f>
        <v/>
      </c>
      <c r="W465" s="38" t="str">
        <f>IF(AND(B465&gt;='IN-NX'!$P$3,B465&lt;='IN-NX'!$Q$3,'IN-NX'!$D$7=D465,OR(LEFT(L465,2)="15",AND(LEFT(M465,2)&lt;&gt;"15",LEFT(M465,2)&lt;&gt;"33"))),"x","")</f>
        <v/>
      </c>
      <c r="X465" s="38" t="str">
        <f>IF(AND(OR(LEFT(TH!L465,2)="15",LEFT(TH!M465,2)="15"),'152-CT'!$J$8=TH!F465),"x","")</f>
        <v/>
      </c>
      <c r="Y465" s="38" t="str">
        <f>IF(AND(OR(LEFT(TH!L465,2)="15",LEFT(TH!M465,2)="15"),TK!$E$7=TH!F465),"x","")</f>
        <v/>
      </c>
      <c r="Z465" s="38" t="str">
        <f>IF(AND(B465&lt;=NKC!$N$8,B465&gt;=NKC!$M$8),"x","")</f>
        <v/>
      </c>
      <c r="AA465" s="845"/>
      <c r="AB465" s="581"/>
    </row>
    <row r="466" spans="1:28" s="201" customFormat="1" ht="15.75" customHeight="1">
      <c r="A466" s="846" t="str">
        <f>IF(B466&lt;&gt;"",IF(AND(B466&gt;=_TM1,B466&lt;=_TM2,OR(TH!L466="1111",TH!M466="1111")),TH!D466,""),"")</f>
        <v/>
      </c>
      <c r="B466" s="36" t="str">
        <f t="shared" si="13"/>
        <v/>
      </c>
      <c r="C466" s="187"/>
      <c r="D466" s="187"/>
      <c r="E466" s="187"/>
      <c r="F466" s="188"/>
      <c r="G466" s="854"/>
      <c r="H466" s="189"/>
      <c r="I466" s="249"/>
      <c r="J466" s="249"/>
      <c r="K466" s="589"/>
      <c r="L466" s="590"/>
      <c r="M466" s="590"/>
      <c r="N466" s="38" t="str">
        <f>IF(AND('331-CT'!$E$7=TH!H466,OR(L466="331",M466="331")),"331",IF(AND(OR(L466="131",M466="131"),H466='131-CT'!$E$7),"131",""))</f>
        <v/>
      </c>
      <c r="O466" s="38" t="str">
        <f>IF(AND($B466&gt;='111'!$N$11,$B466&lt;='111'!$O$11,OR($L466=$O$7,$M466=$O$7)),"x","")</f>
        <v/>
      </c>
      <c r="P466" s="38" t="str">
        <f>IF(AND($L466=$O$7,$B466&lt;'111'!$N$11),"x","")</f>
        <v/>
      </c>
      <c r="Q466" s="38" t="str">
        <f>IF(AND($M466=$O$7,$B466&lt;'111'!$N$11),"x","")</f>
        <v/>
      </c>
      <c r="R466" s="38" t="str">
        <f>IF(ISERROR(FIND('112'!$M$9,G466,1)),"",IF((AND(FIND('112'!$M$9,G466,1)&gt;=1,$B466&gt;='112'!$N$8,$B466&lt;='112'!$O$8,OR($L466='112'!$I$6,$M466='112'!$I$6))),"x",""))</f>
        <v/>
      </c>
      <c r="S466" s="38" t="str">
        <f>IF(ISERROR(FIND('112'!$M$9,G466,1)),"",IF((AND(LEFT(G466,2)=LEFT('112'!$M$9,2),B466&lt;'112'!$N$8,$L466='112'!$I$6)),"x",""))</f>
        <v/>
      </c>
      <c r="T466" s="38" t="str">
        <f>IF(ISERROR(FIND('112'!$M$9,G466,1)),"",IF((AND(RIGHT(G466,2)=RIGHT('112'!$M$9,2),B466&lt;'112'!$N$8,$M466='112'!$I$6)),"x",""))</f>
        <v/>
      </c>
      <c r="U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38" t="str">
        <f>IF(OR(TH!L466=TH!$V$7,M466=TH!$V$7),"x","")</f>
        <v/>
      </c>
      <c r="W466" s="38" t="str">
        <f>IF(AND(B466&gt;='IN-NX'!$P$3,B466&lt;='IN-NX'!$Q$3,'IN-NX'!$D$7=D466,OR(LEFT(L466,2)="15",AND(LEFT(M466,2)&lt;&gt;"15",LEFT(M466,2)&lt;&gt;"33"))),"x","")</f>
        <v/>
      </c>
      <c r="X466" s="38" t="str">
        <f>IF(AND(OR(LEFT(TH!L466,2)="15",LEFT(TH!M466,2)="15"),'152-CT'!$J$8=TH!F466),"x","")</f>
        <v/>
      </c>
      <c r="Y466" s="38" t="str">
        <f>IF(AND(OR(LEFT(TH!L466,2)="15",LEFT(TH!M466,2)="15"),TK!$E$7=TH!F466),"x","")</f>
        <v/>
      </c>
      <c r="Z466" s="38" t="str">
        <f>IF(AND(B466&lt;=NKC!$N$8,B466&gt;=NKC!$M$8),"x","")</f>
        <v/>
      </c>
      <c r="AA466" s="845"/>
      <c r="AB466" s="581"/>
    </row>
    <row r="467" spans="1:28" s="201" customFormat="1" ht="15.75" customHeight="1">
      <c r="A467" s="846" t="str">
        <f>IF(B467&lt;&gt;"",IF(AND(B467&gt;=_TM1,B467&lt;=_TM2,OR(TH!L467="1111",TH!M467="1111")),TH!D467,""),"")</f>
        <v/>
      </c>
      <c r="B467" s="36" t="str">
        <f t="shared" si="13"/>
        <v/>
      </c>
      <c r="C467" s="187"/>
      <c r="D467" s="187"/>
      <c r="E467" s="187"/>
      <c r="F467" s="188"/>
      <c r="G467" s="854"/>
      <c r="H467" s="189"/>
      <c r="I467" s="249"/>
      <c r="J467" s="249"/>
      <c r="K467" s="589"/>
      <c r="L467" s="590"/>
      <c r="M467" s="590"/>
      <c r="N467" s="38" t="str">
        <f>IF(AND('331-CT'!$E$7=TH!H467,OR(L467="331",M467="331")),"331",IF(AND(OR(L467="131",M467="131"),H467='131-CT'!$E$7),"131",""))</f>
        <v/>
      </c>
      <c r="O467" s="38" t="str">
        <f>IF(AND($B467&gt;='111'!$N$11,$B467&lt;='111'!$O$11,OR($L467=$O$7,$M467=$O$7)),"x","")</f>
        <v/>
      </c>
      <c r="P467" s="38" t="str">
        <f>IF(AND($L467=$O$7,$B467&lt;'111'!$N$11),"x","")</f>
        <v/>
      </c>
      <c r="Q467" s="38" t="str">
        <f>IF(AND($M467=$O$7,$B467&lt;'111'!$N$11),"x","")</f>
        <v/>
      </c>
      <c r="R467" s="38" t="str">
        <f>IF(ISERROR(FIND('112'!$M$9,G467,1)),"",IF((AND(FIND('112'!$M$9,G467,1)&gt;=1,$B467&gt;='112'!$N$8,$B467&lt;='112'!$O$8,OR($L467='112'!$I$6,$M467='112'!$I$6))),"x",""))</f>
        <v/>
      </c>
      <c r="S467" s="38" t="str">
        <f>IF(ISERROR(FIND('112'!$M$9,G467,1)),"",IF((AND(LEFT(G467,2)=LEFT('112'!$M$9,2),B467&lt;'112'!$N$8,$L467='112'!$I$6)),"x",""))</f>
        <v/>
      </c>
      <c r="T467" s="38" t="str">
        <f>IF(ISERROR(FIND('112'!$M$9,G467,1)),"",IF((AND(RIGHT(G467,2)=RIGHT('112'!$M$9,2),B467&lt;'112'!$N$8,$M467='112'!$I$6)),"x",""))</f>
        <v/>
      </c>
      <c r="U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38" t="str">
        <f>IF(OR(TH!L467=TH!$V$7,M467=TH!$V$7),"x","")</f>
        <v/>
      </c>
      <c r="W467" s="38" t="str">
        <f>IF(AND(B467&gt;='IN-NX'!$P$3,B467&lt;='IN-NX'!$Q$3,'IN-NX'!$D$7=D467,OR(LEFT(L467,2)="15",AND(LEFT(M467,2)&lt;&gt;"15",LEFT(M467,2)&lt;&gt;"33"))),"x","")</f>
        <v/>
      </c>
      <c r="X467" s="38" t="str">
        <f>IF(AND(OR(LEFT(TH!L467,2)="15",LEFT(TH!M467,2)="15"),'152-CT'!$J$8=TH!F467),"x","")</f>
        <v/>
      </c>
      <c r="Y467" s="38" t="str">
        <f>IF(AND(OR(LEFT(TH!L467,2)="15",LEFT(TH!M467,2)="15"),TK!$E$7=TH!F467),"x","")</f>
        <v/>
      </c>
      <c r="Z467" s="38" t="str">
        <f>IF(AND(B467&lt;=NKC!$N$8,B467&gt;=NKC!$M$8),"x","")</f>
        <v/>
      </c>
      <c r="AA467" s="845"/>
      <c r="AB467" s="581"/>
    </row>
    <row r="468" spans="1:28" s="201" customFormat="1" ht="15.75" customHeight="1">
      <c r="A468" s="846" t="str">
        <f>IF(B468&lt;&gt;"",IF(AND(B468&gt;=_TM1,B468&lt;=_TM2,OR(TH!L468="1111",TH!M468="1111")),TH!D468,""),"")</f>
        <v/>
      </c>
      <c r="B468" s="36" t="str">
        <f t="shared" si="13"/>
        <v/>
      </c>
      <c r="C468" s="187"/>
      <c r="D468" s="187"/>
      <c r="E468" s="187"/>
      <c r="F468" s="188"/>
      <c r="G468" s="854"/>
      <c r="H468" s="189"/>
      <c r="I468" s="249"/>
      <c r="J468" s="249"/>
      <c r="K468" s="589"/>
      <c r="L468" s="590"/>
      <c r="M468" s="590"/>
      <c r="N468" s="38" t="str">
        <f>IF(AND('331-CT'!$E$7=TH!H468,OR(L468="331",M468="331")),"331",IF(AND(OR(L468="131",M468="131"),H468='131-CT'!$E$7),"131",""))</f>
        <v/>
      </c>
      <c r="O468" s="38" t="str">
        <f>IF(AND($B468&gt;='111'!$N$11,$B468&lt;='111'!$O$11,OR($L468=$O$7,$M468=$O$7)),"x","")</f>
        <v/>
      </c>
      <c r="P468" s="38" t="str">
        <f>IF(AND($L468=$O$7,$B468&lt;'111'!$N$11),"x","")</f>
        <v/>
      </c>
      <c r="Q468" s="38" t="str">
        <f>IF(AND($M468=$O$7,$B468&lt;'111'!$N$11),"x","")</f>
        <v/>
      </c>
      <c r="R468" s="38" t="str">
        <f>IF(ISERROR(FIND('112'!$M$9,G468,1)),"",IF((AND(FIND('112'!$M$9,G468,1)&gt;=1,$B468&gt;='112'!$N$8,$B468&lt;='112'!$O$8,OR($L468='112'!$I$6,$M468='112'!$I$6))),"x",""))</f>
        <v/>
      </c>
      <c r="S468" s="38" t="str">
        <f>IF(ISERROR(FIND('112'!$M$9,G468,1)),"",IF((AND(LEFT(G468,2)=LEFT('112'!$M$9,2),B468&lt;'112'!$N$8,$L468='112'!$I$6)),"x",""))</f>
        <v/>
      </c>
      <c r="T468" s="38" t="str">
        <f>IF(ISERROR(FIND('112'!$M$9,G468,1)),"",IF((AND(RIGHT(G468,2)=RIGHT('112'!$M$9,2),B468&lt;'112'!$N$8,$M468='112'!$I$6)),"x",""))</f>
        <v/>
      </c>
      <c r="U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38" t="str">
        <f>IF(OR(TH!L468=TH!$V$7,M468=TH!$V$7),"x","")</f>
        <v/>
      </c>
      <c r="W468" s="38" t="str">
        <f>IF(AND(B468&gt;='IN-NX'!$P$3,B468&lt;='IN-NX'!$Q$3,'IN-NX'!$D$7=D468,OR(LEFT(L468,2)="15",AND(LEFT(M468,2)&lt;&gt;"15",LEFT(M468,2)&lt;&gt;"33"))),"x","")</f>
        <v/>
      </c>
      <c r="X468" s="38" t="str">
        <f>IF(AND(OR(LEFT(TH!L468,2)="15",LEFT(TH!M468,2)="15"),'152-CT'!$J$8=TH!F468),"x","")</f>
        <v/>
      </c>
      <c r="Y468" s="38" t="str">
        <f>IF(AND(OR(LEFT(TH!L468,2)="15",LEFT(TH!M468,2)="15"),TK!$E$7=TH!F468),"x","")</f>
        <v/>
      </c>
      <c r="Z468" s="38" t="str">
        <f>IF(AND(B468&lt;=NKC!$N$8,B468&gt;=NKC!$M$8),"x","")</f>
        <v/>
      </c>
      <c r="AA468" s="845"/>
      <c r="AB468" s="581"/>
    </row>
    <row r="469" spans="1:28" s="201" customFormat="1" ht="15.75" customHeight="1">
      <c r="A469" s="846" t="str">
        <f>IF(B469&lt;&gt;"",IF(AND(B469&gt;=_TM1,B469&lt;=_TM2,OR(TH!L469="1111",TH!M469="1111")),TH!D469,""),"")</f>
        <v/>
      </c>
      <c r="B469" s="36" t="str">
        <f t="shared" si="13"/>
        <v/>
      </c>
      <c r="C469" s="187"/>
      <c r="D469" s="187"/>
      <c r="E469" s="187"/>
      <c r="F469" s="188"/>
      <c r="G469" s="854"/>
      <c r="H469" s="189"/>
      <c r="I469" s="249"/>
      <c r="J469" s="249"/>
      <c r="K469" s="589"/>
      <c r="L469" s="590"/>
      <c r="M469" s="590"/>
      <c r="N469" s="38" t="str">
        <f>IF(AND('331-CT'!$E$7=TH!H469,OR(L469="331",M469="331")),"331",IF(AND(OR(L469="131",M469="131"),H469='131-CT'!$E$7),"131",""))</f>
        <v/>
      </c>
      <c r="O469" s="38" t="str">
        <f>IF(AND($B469&gt;='111'!$N$11,$B469&lt;='111'!$O$11,OR($L469=$O$7,$M469=$O$7)),"x","")</f>
        <v/>
      </c>
      <c r="P469" s="38" t="str">
        <f>IF(AND($L469=$O$7,$B469&lt;'111'!$N$11),"x","")</f>
        <v/>
      </c>
      <c r="Q469" s="38" t="str">
        <f>IF(AND($M469=$O$7,$B469&lt;'111'!$N$11),"x","")</f>
        <v/>
      </c>
      <c r="R469" s="38" t="str">
        <f>IF(ISERROR(FIND('112'!$M$9,G469,1)),"",IF((AND(FIND('112'!$M$9,G469,1)&gt;=1,$B469&gt;='112'!$N$8,$B469&lt;='112'!$O$8,OR($L469='112'!$I$6,$M469='112'!$I$6))),"x",""))</f>
        <v/>
      </c>
      <c r="S469" s="38" t="str">
        <f>IF(ISERROR(FIND('112'!$M$9,G469,1)),"",IF((AND(LEFT(G469,2)=LEFT('112'!$M$9,2),B469&lt;'112'!$N$8,$L469='112'!$I$6)),"x",""))</f>
        <v/>
      </c>
      <c r="T469" s="38" t="str">
        <f>IF(ISERROR(FIND('112'!$M$9,G469,1)),"",IF((AND(RIGHT(G469,2)=RIGHT('112'!$M$9,2),B469&lt;'112'!$N$8,$M469='112'!$I$6)),"x",""))</f>
        <v/>
      </c>
      <c r="U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38" t="str">
        <f>IF(OR(TH!L469=TH!$V$7,M469=TH!$V$7),"x","")</f>
        <v/>
      </c>
      <c r="W469" s="38" t="str">
        <f>IF(AND(B469&gt;='IN-NX'!$P$3,B469&lt;='IN-NX'!$Q$3,'IN-NX'!$D$7=D469,OR(LEFT(L469,2)="15",AND(LEFT(M469,2)&lt;&gt;"15",LEFT(M469,2)&lt;&gt;"33"))),"x","")</f>
        <v/>
      </c>
      <c r="X469" s="38" t="str">
        <f>IF(AND(OR(LEFT(TH!L469,2)="15",LEFT(TH!M469,2)="15"),'152-CT'!$J$8=TH!F469),"x","")</f>
        <v/>
      </c>
      <c r="Y469" s="38" t="str">
        <f>IF(AND(OR(LEFT(TH!L469,2)="15",LEFT(TH!M469,2)="15"),TK!$E$7=TH!F469),"x","")</f>
        <v/>
      </c>
      <c r="Z469" s="38" t="str">
        <f>IF(AND(B469&lt;=NKC!$N$8,B469&gt;=NKC!$M$8),"x","")</f>
        <v/>
      </c>
      <c r="AA469" s="845"/>
      <c r="AB469" s="581"/>
    </row>
    <row r="470" spans="1:28" s="201" customFormat="1" ht="15.75" customHeight="1">
      <c r="A470" s="846" t="str">
        <f>IF(B470&lt;&gt;"",IF(AND(B470&gt;=_TM1,B470&lt;=_TM2,OR(TH!L470="1111",TH!M470="1111")),TH!D470,""),"")</f>
        <v/>
      </c>
      <c r="B470" s="36" t="str">
        <f t="shared" si="13"/>
        <v/>
      </c>
      <c r="C470" s="187"/>
      <c r="D470" s="187"/>
      <c r="E470" s="187"/>
      <c r="F470" s="185"/>
      <c r="G470" s="854"/>
      <c r="H470" s="189"/>
      <c r="I470" s="794"/>
      <c r="J470" s="249"/>
      <c r="K470" s="589"/>
      <c r="L470" s="590"/>
      <c r="M470" s="590"/>
      <c r="N470" s="38" t="str">
        <f>IF(AND('331-CT'!$E$7=TH!H470,OR(L470="331",M470="331")),"331",IF(AND(OR(L470="131",M470="131"),H470='131-CT'!$E$7),"131",""))</f>
        <v/>
      </c>
      <c r="O470" s="38" t="str">
        <f>IF(AND($B470&gt;='111'!$N$11,$B470&lt;='111'!$O$11,OR($L470=$O$7,$M470=$O$7)),"x","")</f>
        <v/>
      </c>
      <c r="P470" s="38" t="str">
        <f>IF(AND($L470=$O$7,$B470&lt;'111'!$N$11),"x","")</f>
        <v/>
      </c>
      <c r="Q470" s="38" t="str">
        <f>IF(AND($M470=$O$7,$B470&lt;'111'!$N$11),"x","")</f>
        <v/>
      </c>
      <c r="R470" s="38" t="str">
        <f>IF(ISERROR(FIND('112'!$M$9,G470,1)),"",IF((AND(FIND('112'!$M$9,G470,1)&gt;=1,$B470&gt;='112'!$N$8,$B470&lt;='112'!$O$8,OR($L470='112'!$I$6,$M470='112'!$I$6))),"x",""))</f>
        <v/>
      </c>
      <c r="S470" s="38" t="str">
        <f>IF(ISERROR(FIND('112'!$M$9,G470,1)),"",IF((AND(LEFT(G470,2)=LEFT('112'!$M$9,2),B470&lt;'112'!$N$8,$L470='112'!$I$6)),"x",""))</f>
        <v/>
      </c>
      <c r="T470" s="38" t="str">
        <f>IF(ISERROR(FIND('112'!$M$9,G470,1)),"",IF((AND(RIGHT(G470,2)=RIGHT('112'!$M$9,2),B470&lt;'112'!$N$8,$M470='112'!$I$6)),"x",""))</f>
        <v/>
      </c>
      <c r="U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38" t="str">
        <f>IF(OR(TH!L470=TH!$V$7,M470=TH!$V$7),"x","")</f>
        <v/>
      </c>
      <c r="W470" s="38" t="str">
        <f>IF(AND(B470&gt;='IN-NX'!$P$3,B470&lt;='IN-NX'!$Q$3,'IN-NX'!$D$7=D470,OR(LEFT(L470,2)="15",AND(LEFT(M470,2)&lt;&gt;"15",LEFT(M470,2)&lt;&gt;"33"))),"x","")</f>
        <v/>
      </c>
      <c r="X470" s="38" t="str">
        <f>IF(AND(OR(LEFT(TH!L470,2)="15",LEFT(TH!M470,2)="15"),'152-CT'!$J$8=TH!F470),"x","")</f>
        <v/>
      </c>
      <c r="Y470" s="38" t="str">
        <f>IF(AND(OR(LEFT(TH!L470,2)="15",LEFT(TH!M470,2)="15"),TK!$E$7=TH!F470),"x","")</f>
        <v/>
      </c>
      <c r="Z470" s="38" t="str">
        <f>IF(AND(B470&lt;=NKC!$N$8,B470&gt;=NKC!$M$8),"x","")</f>
        <v/>
      </c>
      <c r="AA470" s="845"/>
      <c r="AB470" s="581"/>
    </row>
    <row r="471" spans="1:28" s="201" customFormat="1" ht="15.75" customHeight="1">
      <c r="A471" s="846" t="str">
        <f>IF(B471&lt;&gt;"",IF(AND(B471&gt;=_TM1,B471&lt;=_TM2,OR(TH!L471="1111",TH!M471="1111")),TH!D471,""),"")</f>
        <v/>
      </c>
      <c r="B471" s="36" t="str">
        <f t="shared" si="13"/>
        <v/>
      </c>
      <c r="C471" s="187"/>
      <c r="D471" s="187"/>
      <c r="E471" s="187"/>
      <c r="F471" s="185"/>
      <c r="G471" s="854"/>
      <c r="H471" s="189"/>
      <c r="I471" s="249"/>
      <c r="J471" s="249"/>
      <c r="K471" s="589"/>
      <c r="L471" s="590"/>
      <c r="M471" s="590"/>
      <c r="N471" s="38" t="str">
        <f>IF(AND('331-CT'!$E$7=TH!H471,OR(L471="331",M471="331")),"331",IF(AND(OR(L471="131",M471="131"),H471='131-CT'!$E$7),"131",""))</f>
        <v/>
      </c>
      <c r="O471" s="38" t="str">
        <f>IF(AND($B471&gt;='111'!$N$11,$B471&lt;='111'!$O$11,OR($L471=$O$7,$M471=$O$7)),"x","")</f>
        <v/>
      </c>
      <c r="P471" s="38" t="str">
        <f>IF(AND($L471=$O$7,$B471&lt;'111'!$N$11),"x","")</f>
        <v/>
      </c>
      <c r="Q471" s="38" t="str">
        <f>IF(AND($M471=$O$7,$B471&lt;'111'!$N$11),"x","")</f>
        <v/>
      </c>
      <c r="R471" s="38" t="str">
        <f>IF(ISERROR(FIND('112'!$M$9,G471,1)),"",IF((AND(FIND('112'!$M$9,G471,1)&gt;=1,$B471&gt;='112'!$N$8,$B471&lt;='112'!$O$8,OR($L471='112'!$I$6,$M471='112'!$I$6))),"x",""))</f>
        <v/>
      </c>
      <c r="S471" s="38" t="str">
        <f>IF(ISERROR(FIND('112'!$M$9,G471,1)),"",IF((AND(LEFT(G471,2)=LEFT('112'!$M$9,2),B471&lt;'112'!$N$8,$L471='112'!$I$6)),"x",""))</f>
        <v/>
      </c>
      <c r="T471" s="38" t="str">
        <f>IF(ISERROR(FIND('112'!$M$9,G471,1)),"",IF((AND(RIGHT(G471,2)=RIGHT('112'!$M$9,2),B471&lt;'112'!$N$8,$M471='112'!$I$6)),"x",""))</f>
        <v/>
      </c>
      <c r="U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38" t="str">
        <f>IF(OR(TH!L471=TH!$V$7,M471=TH!$V$7),"x","")</f>
        <v/>
      </c>
      <c r="W471" s="38" t="str">
        <f>IF(AND(B471&gt;='IN-NX'!$P$3,B471&lt;='IN-NX'!$Q$3,'IN-NX'!$D$7=D471,OR(LEFT(L471,2)="15",AND(LEFT(M471,2)&lt;&gt;"15",LEFT(M471,2)&lt;&gt;"33"))),"x","")</f>
        <v/>
      </c>
      <c r="X471" s="38" t="str">
        <f>IF(AND(OR(LEFT(TH!L471,2)="15",LEFT(TH!M471,2)="15"),'152-CT'!$J$8=TH!F471),"x","")</f>
        <v/>
      </c>
      <c r="Y471" s="38" t="str">
        <f>IF(AND(OR(LEFT(TH!L471,2)="15",LEFT(TH!M471,2)="15"),TK!$E$7=TH!F471),"x","")</f>
        <v/>
      </c>
      <c r="Z471" s="38" t="str">
        <f>IF(AND(B471&lt;=NKC!$N$8,B471&gt;=NKC!$M$8),"x","")</f>
        <v/>
      </c>
      <c r="AA471" s="845"/>
      <c r="AB471" s="581"/>
    </row>
    <row r="472" spans="1:28" s="201" customFormat="1" ht="15.75" customHeight="1">
      <c r="A472" s="846" t="str">
        <f>IF(B472&lt;&gt;"",IF(AND(B472&gt;=_TM1,B472&lt;=_TM2,OR(TH!L472="1111",TH!M472="1111")),TH!D472,""),"")</f>
        <v/>
      </c>
      <c r="B472" s="36" t="str">
        <f t="shared" si="13"/>
        <v/>
      </c>
      <c r="C472" s="187"/>
      <c r="D472" s="187"/>
      <c r="E472" s="187"/>
      <c r="F472" s="39"/>
      <c r="G472" s="854"/>
      <c r="H472" s="189"/>
      <c r="I472" s="249"/>
      <c r="J472" s="249"/>
      <c r="K472" s="589"/>
      <c r="L472" s="590"/>
      <c r="M472" s="590"/>
      <c r="N472" s="38" t="str">
        <f>IF(AND('331-CT'!$E$7=TH!H472,OR(L472="331",M472="331")),"331",IF(AND(OR(L472="131",M472="131"),H472='131-CT'!$E$7),"131",""))</f>
        <v/>
      </c>
      <c r="O472" s="38" t="str">
        <f>IF(AND($B472&gt;='111'!$N$11,$B472&lt;='111'!$O$11,OR($L472=$O$7,$M472=$O$7)),"x","")</f>
        <v/>
      </c>
      <c r="P472" s="38" t="str">
        <f>IF(AND($L472=$O$7,$B472&lt;'111'!$N$11),"x","")</f>
        <v/>
      </c>
      <c r="Q472" s="38" t="str">
        <f>IF(AND($M472=$O$7,$B472&lt;'111'!$N$11),"x","")</f>
        <v/>
      </c>
      <c r="R472" s="38" t="str">
        <f>IF(ISERROR(FIND('112'!$M$9,G472,1)),"",IF((AND(FIND('112'!$M$9,G472,1)&gt;=1,$B472&gt;='112'!$N$8,$B472&lt;='112'!$O$8,OR($L472='112'!$I$6,$M472='112'!$I$6))),"x",""))</f>
        <v/>
      </c>
      <c r="S472" s="38" t="str">
        <f>IF(ISERROR(FIND('112'!$M$9,G472,1)),"",IF((AND(LEFT(G472,2)=LEFT('112'!$M$9,2),B472&lt;'112'!$N$8,$L472='112'!$I$6)),"x",""))</f>
        <v/>
      </c>
      <c r="T472" s="38" t="str">
        <f>IF(ISERROR(FIND('112'!$M$9,G472,1)),"",IF((AND(RIGHT(G472,2)=RIGHT('112'!$M$9,2),B472&lt;'112'!$N$8,$M472='112'!$I$6)),"x",""))</f>
        <v/>
      </c>
      <c r="U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38" t="str">
        <f>IF(OR(TH!L472=TH!$V$7,M472=TH!$V$7),"x","")</f>
        <v/>
      </c>
      <c r="W472" s="38" t="str">
        <f>IF(AND(B472&gt;='IN-NX'!$P$3,B472&lt;='IN-NX'!$Q$3,'IN-NX'!$D$7=D472,OR(LEFT(L472,2)="15",AND(LEFT(M472,2)&lt;&gt;"15",LEFT(M472,2)&lt;&gt;"33"))),"x","")</f>
        <v/>
      </c>
      <c r="X472" s="38" t="str">
        <f>IF(AND(OR(LEFT(TH!L472,2)="15",LEFT(TH!M472,2)="15"),'152-CT'!$J$8=TH!F472),"x","")</f>
        <v/>
      </c>
      <c r="Y472" s="38" t="str">
        <f>IF(AND(OR(LEFT(TH!L472,2)="15",LEFT(TH!M472,2)="15"),TK!$E$7=TH!F472),"x","")</f>
        <v/>
      </c>
      <c r="Z472" s="38" t="str">
        <f>IF(AND(B472&lt;=NKC!$N$8,B472&gt;=NKC!$M$8),"x","")</f>
        <v/>
      </c>
      <c r="AA472" s="845"/>
      <c r="AB472" s="581"/>
    </row>
    <row r="473" spans="1:28" s="201" customFormat="1" ht="15.75" customHeight="1">
      <c r="A473" s="846" t="str">
        <f>IF(B473&lt;&gt;"",IF(AND(B473&gt;=_TM1,B473&lt;=_TM2,OR(TH!L473="1111",TH!M473="1111")),TH!D473,""),"")</f>
        <v/>
      </c>
      <c r="B473" s="36" t="str">
        <f t="shared" si="13"/>
        <v/>
      </c>
      <c r="C473" s="187"/>
      <c r="D473" s="187"/>
      <c r="E473" s="187"/>
      <c r="F473" s="185"/>
      <c r="G473" s="854"/>
      <c r="H473" s="189"/>
      <c r="I473" s="249"/>
      <c r="J473" s="249"/>
      <c r="K473" s="589"/>
      <c r="L473" s="590"/>
      <c r="M473" s="590"/>
      <c r="N473" s="38" t="str">
        <f>IF(AND('331-CT'!$E$7=TH!H473,OR(L473="331",M473="331")),"331",IF(AND(OR(L473="131",M473="131"),H473='131-CT'!$E$7),"131",""))</f>
        <v/>
      </c>
      <c r="O473" s="38" t="str">
        <f>IF(AND($B473&gt;='111'!$N$11,$B473&lt;='111'!$O$11,OR($L473=$O$7,$M473=$O$7)),"x","")</f>
        <v/>
      </c>
      <c r="P473" s="38" t="str">
        <f>IF(AND($L473=$O$7,$B473&lt;'111'!$N$11),"x","")</f>
        <v/>
      </c>
      <c r="Q473" s="38" t="str">
        <f>IF(AND($M473=$O$7,$B473&lt;'111'!$N$11),"x","")</f>
        <v/>
      </c>
      <c r="R473" s="38" t="str">
        <f>IF(ISERROR(FIND('112'!$M$9,G473,1)),"",IF((AND(FIND('112'!$M$9,G473,1)&gt;=1,$B473&gt;='112'!$N$8,$B473&lt;='112'!$O$8,OR($L473='112'!$I$6,$M473='112'!$I$6))),"x",""))</f>
        <v/>
      </c>
      <c r="S473" s="38" t="str">
        <f>IF(ISERROR(FIND('112'!$M$9,G473,1)),"",IF((AND(LEFT(G473,2)=LEFT('112'!$M$9,2),B473&lt;'112'!$N$8,$L473='112'!$I$6)),"x",""))</f>
        <v/>
      </c>
      <c r="T473" s="38" t="str">
        <f>IF(ISERROR(FIND('112'!$M$9,G473,1)),"",IF((AND(RIGHT(G473,2)=RIGHT('112'!$M$9,2),B473&lt;'112'!$N$8,$M473='112'!$I$6)),"x",""))</f>
        <v/>
      </c>
      <c r="U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38" t="str">
        <f>IF(OR(TH!L473=TH!$V$7,M473=TH!$V$7),"x","")</f>
        <v/>
      </c>
      <c r="W473" s="38" t="str">
        <f>IF(AND(B473&gt;='IN-NX'!$P$3,B473&lt;='IN-NX'!$Q$3,'IN-NX'!$D$7=D473,OR(LEFT(L473,2)="15",AND(LEFT(M473,2)&lt;&gt;"15",LEFT(M473,2)&lt;&gt;"33"))),"x","")</f>
        <v/>
      </c>
      <c r="X473" s="38" t="str">
        <f>IF(AND(OR(LEFT(TH!L473,2)="15",LEFT(TH!M473,2)="15"),'152-CT'!$J$8=TH!F473),"x","")</f>
        <v/>
      </c>
      <c r="Y473" s="38" t="str">
        <f>IF(AND(OR(LEFT(TH!L473,2)="15",LEFT(TH!M473,2)="15"),TK!$E$7=TH!F473),"x","")</f>
        <v/>
      </c>
      <c r="Z473" s="38" t="str">
        <f>IF(AND(B473&lt;=NKC!$N$8,B473&gt;=NKC!$M$8),"x","")</f>
        <v/>
      </c>
      <c r="AA473" s="845"/>
      <c r="AB473" s="581"/>
    </row>
    <row r="474" spans="1:28" s="201" customFormat="1" ht="15.75" customHeight="1">
      <c r="A474" s="846" t="str">
        <f>IF(B474&lt;&gt;"",IF(AND(B474&gt;=_TM1,B474&lt;=_TM2,OR(TH!L474="1111",TH!M474="1111")),TH!D474,""),"")</f>
        <v/>
      </c>
      <c r="B474" s="36" t="str">
        <f t="shared" si="13"/>
        <v/>
      </c>
      <c r="C474" s="187"/>
      <c r="D474" s="187"/>
      <c r="E474" s="187"/>
      <c r="F474" s="39"/>
      <c r="G474" s="854"/>
      <c r="H474" s="189"/>
      <c r="I474" s="249"/>
      <c r="J474" s="249"/>
      <c r="K474" s="589"/>
      <c r="L474" s="590"/>
      <c r="M474" s="590"/>
      <c r="N474" s="38" t="str">
        <f>IF(AND('331-CT'!$E$7=TH!H474,OR(L474="331",M474="331")),"331",IF(AND(OR(L474="131",M474="131"),H474='131-CT'!$E$7),"131",""))</f>
        <v/>
      </c>
      <c r="O474" s="38" t="str">
        <f>IF(AND($B474&gt;='111'!$N$11,$B474&lt;='111'!$O$11,OR($L474=$O$7,$M474=$O$7)),"x","")</f>
        <v/>
      </c>
      <c r="P474" s="38" t="str">
        <f>IF(AND($L474=$O$7,$B474&lt;'111'!$N$11),"x","")</f>
        <v/>
      </c>
      <c r="Q474" s="38" t="str">
        <f>IF(AND($M474=$O$7,$B474&lt;'111'!$N$11),"x","")</f>
        <v/>
      </c>
      <c r="R474" s="38" t="str">
        <f>IF(ISERROR(FIND('112'!$M$9,G474,1)),"",IF((AND(FIND('112'!$M$9,G474,1)&gt;=1,$B474&gt;='112'!$N$8,$B474&lt;='112'!$O$8,OR($L474='112'!$I$6,$M474='112'!$I$6))),"x",""))</f>
        <v/>
      </c>
      <c r="S474" s="38" t="str">
        <f>IF(ISERROR(FIND('112'!$M$9,G474,1)),"",IF((AND(LEFT(G474,2)=LEFT('112'!$M$9,2),B474&lt;'112'!$N$8,$L474='112'!$I$6)),"x",""))</f>
        <v/>
      </c>
      <c r="T474" s="38" t="str">
        <f>IF(ISERROR(FIND('112'!$M$9,G474,1)),"",IF((AND(RIGHT(G474,2)=RIGHT('112'!$M$9,2),B474&lt;'112'!$N$8,$M474='112'!$I$6)),"x",""))</f>
        <v/>
      </c>
      <c r="U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38" t="str">
        <f>IF(OR(TH!L474=TH!$V$7,M474=TH!$V$7),"x","")</f>
        <v/>
      </c>
      <c r="W474" s="38" t="str">
        <f>IF(AND(B474&gt;='IN-NX'!$P$3,B474&lt;='IN-NX'!$Q$3,'IN-NX'!$D$7=D474,OR(LEFT(L474,2)="15",AND(LEFT(M474,2)&lt;&gt;"15",LEFT(M474,2)&lt;&gt;"33"))),"x","")</f>
        <v/>
      </c>
      <c r="X474" s="38" t="str">
        <f>IF(AND(OR(LEFT(TH!L474,2)="15",LEFT(TH!M474,2)="15"),'152-CT'!$J$8=TH!F474),"x","")</f>
        <v/>
      </c>
      <c r="Y474" s="38" t="str">
        <f>IF(AND(OR(LEFT(TH!L474,2)="15",LEFT(TH!M474,2)="15"),TK!$E$7=TH!F474),"x","")</f>
        <v/>
      </c>
      <c r="Z474" s="38" t="str">
        <f>IF(AND(B474&lt;=NKC!$N$8,B474&gt;=NKC!$M$8),"x","")</f>
        <v/>
      </c>
      <c r="AA474" s="845"/>
      <c r="AB474" s="581"/>
    </row>
    <row r="475" spans="1:28" s="201" customFormat="1" ht="15.75" customHeight="1">
      <c r="A475" s="846" t="str">
        <f>IF(B475&lt;&gt;"",IF(AND(B475&gt;=_TM1,B475&lt;=_TM2,OR(TH!L475="1111",TH!M475="1111")),TH!D475,""),"")</f>
        <v/>
      </c>
      <c r="B475" s="36" t="str">
        <f t="shared" si="13"/>
        <v/>
      </c>
      <c r="C475" s="187"/>
      <c r="D475" s="187"/>
      <c r="E475" s="187"/>
      <c r="F475" s="39"/>
      <c r="G475" s="854"/>
      <c r="H475" s="189"/>
      <c r="I475" s="249"/>
      <c r="J475" s="249"/>
      <c r="K475" s="589"/>
      <c r="L475" s="590"/>
      <c r="M475" s="590"/>
      <c r="N475" s="38" t="str">
        <f>IF(AND('331-CT'!$E$7=TH!H475,OR(L475="331",M475="331")),"331",IF(AND(OR(L475="131",M475="131"),H475='131-CT'!$E$7),"131",""))</f>
        <v/>
      </c>
      <c r="O475" s="38" t="str">
        <f>IF(AND($B475&gt;='111'!$N$11,$B475&lt;='111'!$O$11,OR($L475=$O$7,$M475=$O$7)),"x","")</f>
        <v/>
      </c>
      <c r="P475" s="38" t="str">
        <f>IF(AND($L475=$O$7,$B475&lt;'111'!$N$11),"x","")</f>
        <v/>
      </c>
      <c r="Q475" s="38" t="str">
        <f>IF(AND($M475=$O$7,$B475&lt;'111'!$N$11),"x","")</f>
        <v/>
      </c>
      <c r="R475" s="38" t="str">
        <f>IF(ISERROR(FIND('112'!$M$9,G475,1)),"",IF((AND(FIND('112'!$M$9,G475,1)&gt;=1,$B475&gt;='112'!$N$8,$B475&lt;='112'!$O$8,OR($L475='112'!$I$6,$M475='112'!$I$6))),"x",""))</f>
        <v/>
      </c>
      <c r="S475" s="38" t="str">
        <f>IF(ISERROR(FIND('112'!$M$9,G475,1)),"",IF((AND(LEFT(G475,2)=LEFT('112'!$M$9,2),B475&lt;'112'!$N$8,$L475='112'!$I$6)),"x",""))</f>
        <v/>
      </c>
      <c r="T475" s="38" t="str">
        <f>IF(ISERROR(FIND('112'!$M$9,G475,1)),"",IF((AND(RIGHT(G475,2)=RIGHT('112'!$M$9,2),B475&lt;'112'!$N$8,$M475='112'!$I$6)),"x",""))</f>
        <v/>
      </c>
      <c r="U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38" t="str">
        <f>IF(OR(TH!L475=TH!$V$7,M475=TH!$V$7),"x","")</f>
        <v/>
      </c>
      <c r="W475" s="38" t="str">
        <f>IF(AND(B475&gt;='IN-NX'!$P$3,B475&lt;='IN-NX'!$Q$3,'IN-NX'!$D$7=D475,OR(LEFT(L475,2)="15",AND(LEFT(M475,2)&lt;&gt;"15",LEFT(M475,2)&lt;&gt;"33"))),"x","")</f>
        <v/>
      </c>
      <c r="X475" s="38" t="str">
        <f>IF(AND(OR(LEFT(TH!L475,2)="15",LEFT(TH!M475,2)="15"),'152-CT'!$J$8=TH!F475),"x","")</f>
        <v/>
      </c>
      <c r="Y475" s="38" t="str">
        <f>IF(AND(OR(LEFT(TH!L475,2)="15",LEFT(TH!M475,2)="15"),TK!$E$7=TH!F475),"x","")</f>
        <v/>
      </c>
      <c r="Z475" s="38" t="str">
        <f>IF(AND(B475&lt;=NKC!$N$8,B475&gt;=NKC!$M$8),"x","")</f>
        <v/>
      </c>
      <c r="AA475" s="845"/>
      <c r="AB475" s="581"/>
    </row>
    <row r="476" spans="1:28" s="201" customFormat="1" ht="15.75" customHeight="1">
      <c r="A476" s="846" t="str">
        <f>IF(B476&lt;&gt;"",IF(AND(B476&gt;=_TM1,B476&lt;=_TM2,OR(TH!L476="1111",TH!M476="1111")),TH!D476,""),"")</f>
        <v/>
      </c>
      <c r="B476" s="36" t="str">
        <f t="shared" si="13"/>
        <v/>
      </c>
      <c r="C476" s="187"/>
      <c r="D476" s="187"/>
      <c r="E476" s="187"/>
      <c r="F476" s="39"/>
      <c r="G476" s="854"/>
      <c r="H476" s="189"/>
      <c r="I476" s="249"/>
      <c r="J476" s="249"/>
      <c r="K476" s="589"/>
      <c r="L476" s="590"/>
      <c r="M476" s="590"/>
      <c r="N476" s="38" t="str">
        <f>IF(AND('331-CT'!$E$7=TH!H476,OR(L476="331",M476="331")),"331",IF(AND(OR(L476="131",M476="131"),H476='131-CT'!$E$7),"131",""))</f>
        <v/>
      </c>
      <c r="O476" s="38" t="str">
        <f>IF(AND($B476&gt;='111'!$N$11,$B476&lt;='111'!$O$11,OR($L476=$O$7,$M476=$O$7)),"x","")</f>
        <v/>
      </c>
      <c r="P476" s="38" t="str">
        <f>IF(AND($L476=$O$7,$B476&lt;'111'!$N$11),"x","")</f>
        <v/>
      </c>
      <c r="Q476" s="38" t="str">
        <f>IF(AND($M476=$O$7,$B476&lt;'111'!$N$11),"x","")</f>
        <v/>
      </c>
      <c r="R476" s="38" t="str">
        <f>IF(ISERROR(FIND('112'!$M$9,G476,1)),"",IF((AND(FIND('112'!$M$9,G476,1)&gt;=1,$B476&gt;='112'!$N$8,$B476&lt;='112'!$O$8,OR($L476='112'!$I$6,$M476='112'!$I$6))),"x",""))</f>
        <v/>
      </c>
      <c r="S476" s="38" t="str">
        <f>IF(ISERROR(FIND('112'!$M$9,G476,1)),"",IF((AND(LEFT(G476,2)=LEFT('112'!$M$9,2),B476&lt;'112'!$N$8,$L476='112'!$I$6)),"x",""))</f>
        <v/>
      </c>
      <c r="T476" s="38" t="str">
        <f>IF(ISERROR(FIND('112'!$M$9,G476,1)),"",IF((AND(RIGHT(G476,2)=RIGHT('112'!$M$9,2),B476&lt;'112'!$N$8,$M476='112'!$I$6)),"x",""))</f>
        <v/>
      </c>
      <c r="U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38" t="str">
        <f>IF(OR(TH!L476=TH!$V$7,M476=TH!$V$7),"x","")</f>
        <v/>
      </c>
      <c r="W476" s="38" t="str">
        <f>IF(AND(B476&gt;='IN-NX'!$P$3,B476&lt;='IN-NX'!$Q$3,'IN-NX'!$D$7=D476,OR(LEFT(L476,2)="15",AND(LEFT(M476,2)&lt;&gt;"15",LEFT(M476,2)&lt;&gt;"33"))),"x","")</f>
        <v/>
      </c>
      <c r="X476" s="38" t="str">
        <f>IF(AND(OR(LEFT(TH!L476,2)="15",LEFT(TH!M476,2)="15"),'152-CT'!$J$8=TH!F476),"x","")</f>
        <v/>
      </c>
      <c r="Y476" s="38" t="str">
        <f>IF(AND(OR(LEFT(TH!L476,2)="15",LEFT(TH!M476,2)="15"),TK!$E$7=TH!F476),"x","")</f>
        <v/>
      </c>
      <c r="Z476" s="38" t="str">
        <f>IF(AND(B476&lt;=NKC!$N$8,B476&gt;=NKC!$M$8),"x","")</f>
        <v/>
      </c>
      <c r="AA476" s="845"/>
      <c r="AB476" s="581"/>
    </row>
    <row r="477" spans="1:28" s="201" customFormat="1" ht="15.75" customHeight="1">
      <c r="A477" s="846" t="str">
        <f>IF(B477&lt;&gt;"",IF(AND(B477&gt;=_TM1,B477&lt;=_TM2,OR(TH!L477="1111",TH!M477="1111")),TH!D477,""),"")</f>
        <v/>
      </c>
      <c r="B477" s="36" t="str">
        <f t="shared" si="13"/>
        <v/>
      </c>
      <c r="C477" s="187"/>
      <c r="D477" s="187"/>
      <c r="E477" s="187"/>
      <c r="F477" s="39"/>
      <c r="G477" s="854"/>
      <c r="H477" s="189"/>
      <c r="I477" s="249"/>
      <c r="J477" s="249"/>
      <c r="K477" s="589"/>
      <c r="L477" s="590"/>
      <c r="M477" s="590"/>
      <c r="N477" s="38" t="str">
        <f>IF(AND('331-CT'!$E$7=TH!H477,OR(L477="331",M477="331")),"331",IF(AND(OR(L477="131",M477="131"),H477='131-CT'!$E$7),"131",""))</f>
        <v/>
      </c>
      <c r="O477" s="38" t="str">
        <f>IF(AND($B477&gt;='111'!$N$11,$B477&lt;='111'!$O$11,OR($L477=$O$7,$M477=$O$7)),"x","")</f>
        <v/>
      </c>
      <c r="P477" s="38" t="str">
        <f>IF(AND($L477=$O$7,$B477&lt;'111'!$N$11),"x","")</f>
        <v/>
      </c>
      <c r="Q477" s="38" t="str">
        <f>IF(AND($M477=$O$7,$B477&lt;'111'!$N$11),"x","")</f>
        <v/>
      </c>
      <c r="R477" s="38" t="str">
        <f>IF(ISERROR(FIND('112'!$M$9,G477,1)),"",IF((AND(FIND('112'!$M$9,G477,1)&gt;=1,$B477&gt;='112'!$N$8,$B477&lt;='112'!$O$8,OR($L477='112'!$I$6,$M477='112'!$I$6))),"x",""))</f>
        <v/>
      </c>
      <c r="S477" s="38" t="str">
        <f>IF(ISERROR(FIND('112'!$M$9,G477,1)),"",IF((AND(LEFT(G477,2)=LEFT('112'!$M$9,2),B477&lt;'112'!$N$8,$L477='112'!$I$6)),"x",""))</f>
        <v/>
      </c>
      <c r="T477" s="38" t="str">
        <f>IF(ISERROR(FIND('112'!$M$9,G477,1)),"",IF((AND(RIGHT(G477,2)=RIGHT('112'!$M$9,2),B477&lt;'112'!$N$8,$M477='112'!$I$6)),"x",""))</f>
        <v/>
      </c>
      <c r="U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38" t="str">
        <f>IF(OR(TH!L477=TH!$V$7,M477=TH!$V$7),"x","")</f>
        <v/>
      </c>
      <c r="W477" s="38" t="str">
        <f>IF(AND(B477&gt;='IN-NX'!$P$3,B477&lt;='IN-NX'!$Q$3,'IN-NX'!$D$7=D477,OR(LEFT(L477,2)="15",AND(LEFT(M477,2)&lt;&gt;"15",LEFT(M477,2)&lt;&gt;"33"))),"x","")</f>
        <v/>
      </c>
      <c r="X477" s="38" t="str">
        <f>IF(AND(OR(LEFT(TH!L477,2)="15",LEFT(TH!M477,2)="15"),'152-CT'!$J$8=TH!F477),"x","")</f>
        <v/>
      </c>
      <c r="Y477" s="38" t="str">
        <f>IF(AND(OR(LEFT(TH!L477,2)="15",LEFT(TH!M477,2)="15"),TK!$E$7=TH!F477),"x","")</f>
        <v/>
      </c>
      <c r="Z477" s="38" t="str">
        <f>IF(AND(B477&lt;=NKC!$N$8,B477&gt;=NKC!$M$8),"x","")</f>
        <v/>
      </c>
      <c r="AA477" s="845"/>
      <c r="AB477" s="581"/>
    </row>
    <row r="478" spans="1:28" s="201" customFormat="1" ht="15.75" customHeight="1">
      <c r="A478" s="846" t="str">
        <f>IF(B478&lt;&gt;"",IF(AND(B478&gt;=_TM1,B478&lt;=_TM2,OR(TH!L478="1111",TH!M478="1111")),TH!D478,""),"")</f>
        <v/>
      </c>
      <c r="B478" s="36" t="str">
        <f t="shared" si="13"/>
        <v/>
      </c>
      <c r="C478" s="187"/>
      <c r="D478" s="187"/>
      <c r="E478" s="187"/>
      <c r="F478" s="39"/>
      <c r="G478" s="854"/>
      <c r="H478" s="189"/>
      <c r="I478" s="249"/>
      <c r="J478" s="249"/>
      <c r="K478" s="589"/>
      <c r="L478" s="590"/>
      <c r="M478" s="590"/>
      <c r="N478" s="38" t="str">
        <f>IF(AND('331-CT'!$E$7=TH!H478,OR(L478="331",M478="331")),"331",IF(AND(OR(L478="131",M478="131"),H478='131-CT'!$E$7),"131",""))</f>
        <v/>
      </c>
      <c r="O478" s="38" t="str">
        <f>IF(AND($B478&gt;='111'!$N$11,$B478&lt;='111'!$O$11,OR($L478=$O$7,$M478=$O$7)),"x","")</f>
        <v/>
      </c>
      <c r="P478" s="38" t="str">
        <f>IF(AND($L478=$O$7,$B478&lt;'111'!$N$11),"x","")</f>
        <v/>
      </c>
      <c r="Q478" s="38" t="str">
        <f>IF(AND($M478=$O$7,$B478&lt;'111'!$N$11),"x","")</f>
        <v/>
      </c>
      <c r="R478" s="38" t="str">
        <f>IF(ISERROR(FIND('112'!$M$9,G478,1)),"",IF((AND(FIND('112'!$M$9,G478,1)&gt;=1,$B478&gt;='112'!$N$8,$B478&lt;='112'!$O$8,OR($L478='112'!$I$6,$M478='112'!$I$6))),"x",""))</f>
        <v/>
      </c>
      <c r="S478" s="38" t="str">
        <f>IF(ISERROR(FIND('112'!$M$9,G478,1)),"",IF((AND(LEFT(G478,2)=LEFT('112'!$M$9,2),B478&lt;'112'!$N$8,$L478='112'!$I$6)),"x",""))</f>
        <v/>
      </c>
      <c r="T478" s="38" t="str">
        <f>IF(ISERROR(FIND('112'!$M$9,G478,1)),"",IF((AND(RIGHT(G478,2)=RIGHT('112'!$M$9,2),B478&lt;'112'!$N$8,$M478='112'!$I$6)),"x",""))</f>
        <v/>
      </c>
      <c r="U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38" t="str">
        <f>IF(OR(TH!L478=TH!$V$7,M478=TH!$V$7),"x","")</f>
        <v/>
      </c>
      <c r="W478" s="38" t="str">
        <f>IF(AND(B478&gt;='IN-NX'!$P$3,B478&lt;='IN-NX'!$Q$3,'IN-NX'!$D$7=D478,OR(LEFT(L478,2)="15",AND(LEFT(M478,2)&lt;&gt;"15",LEFT(M478,2)&lt;&gt;"33"))),"x","")</f>
        <v/>
      </c>
      <c r="X478" s="38" t="str">
        <f>IF(AND(OR(LEFT(TH!L478,2)="15",LEFT(TH!M478,2)="15"),'152-CT'!$J$8=TH!F478),"x","")</f>
        <v/>
      </c>
      <c r="Y478" s="38" t="str">
        <f>IF(AND(OR(LEFT(TH!L478,2)="15",LEFT(TH!M478,2)="15"),TK!$E$7=TH!F478),"x","")</f>
        <v/>
      </c>
      <c r="Z478" s="38" t="str">
        <f>IF(AND(B478&lt;=NKC!$N$8,B478&gt;=NKC!$M$8),"x","")</f>
        <v/>
      </c>
      <c r="AA478" s="845"/>
      <c r="AB478" s="581"/>
    </row>
    <row r="479" spans="1:28" s="201" customFormat="1" ht="15.75" customHeight="1">
      <c r="A479" s="846" t="str">
        <f>IF(B479&lt;&gt;"",IF(AND(B479&gt;=_TM1,B479&lt;=_TM2,OR(TH!L479="1111",TH!M479="1111")),TH!D479,""),"")</f>
        <v/>
      </c>
      <c r="B479" s="36" t="str">
        <f t="shared" si="13"/>
        <v/>
      </c>
      <c r="C479" s="187"/>
      <c r="D479" s="187"/>
      <c r="E479" s="187"/>
      <c r="F479" s="39"/>
      <c r="G479" s="854"/>
      <c r="H479" s="189"/>
      <c r="I479" s="249"/>
      <c r="J479" s="249"/>
      <c r="K479" s="589"/>
      <c r="L479" s="590"/>
      <c r="M479" s="590"/>
      <c r="N479" s="38" t="str">
        <f>IF(AND('331-CT'!$E$7=TH!H479,OR(L479="331",M479="331")),"331",IF(AND(OR(L479="131",M479="131"),H479='131-CT'!$E$7),"131",""))</f>
        <v/>
      </c>
      <c r="O479" s="38" t="str">
        <f>IF(AND($B479&gt;='111'!$N$11,$B479&lt;='111'!$O$11,OR($L479=$O$7,$M479=$O$7)),"x","")</f>
        <v/>
      </c>
      <c r="P479" s="38" t="str">
        <f>IF(AND($L479=$O$7,$B479&lt;'111'!$N$11),"x","")</f>
        <v/>
      </c>
      <c r="Q479" s="38" t="str">
        <f>IF(AND($M479=$O$7,$B479&lt;'111'!$N$11),"x","")</f>
        <v/>
      </c>
      <c r="R479" s="38" t="str">
        <f>IF(ISERROR(FIND('112'!$M$9,G479,1)),"",IF((AND(FIND('112'!$M$9,G479,1)&gt;=1,$B479&gt;='112'!$N$8,$B479&lt;='112'!$O$8,OR($L479='112'!$I$6,$M479='112'!$I$6))),"x",""))</f>
        <v/>
      </c>
      <c r="S479" s="38" t="str">
        <f>IF(ISERROR(FIND('112'!$M$9,G479,1)),"",IF((AND(LEFT(G479,2)=LEFT('112'!$M$9,2),B479&lt;'112'!$N$8,$L479='112'!$I$6)),"x",""))</f>
        <v/>
      </c>
      <c r="T479" s="38" t="str">
        <f>IF(ISERROR(FIND('112'!$M$9,G479,1)),"",IF((AND(RIGHT(G479,2)=RIGHT('112'!$M$9,2),B479&lt;'112'!$N$8,$M479='112'!$I$6)),"x",""))</f>
        <v/>
      </c>
      <c r="U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38" t="str">
        <f>IF(OR(TH!L479=TH!$V$7,M479=TH!$V$7),"x","")</f>
        <v/>
      </c>
      <c r="W479" s="38" t="str">
        <f>IF(AND(B479&gt;='IN-NX'!$P$3,B479&lt;='IN-NX'!$Q$3,'IN-NX'!$D$7=D479,OR(LEFT(L479,2)="15",AND(LEFT(M479,2)&lt;&gt;"15",LEFT(M479,2)&lt;&gt;"33"))),"x","")</f>
        <v/>
      </c>
      <c r="X479" s="38" t="str">
        <f>IF(AND(OR(LEFT(TH!L479,2)="15",LEFT(TH!M479,2)="15"),'152-CT'!$J$8=TH!F479),"x","")</f>
        <v/>
      </c>
      <c r="Y479" s="38" t="str">
        <f>IF(AND(OR(LEFT(TH!L479,2)="15",LEFT(TH!M479,2)="15"),TK!$E$7=TH!F479),"x","")</f>
        <v/>
      </c>
      <c r="Z479" s="38" t="str">
        <f>IF(AND(B479&lt;=NKC!$N$8,B479&gt;=NKC!$M$8),"x","")</f>
        <v/>
      </c>
      <c r="AA479" s="845"/>
      <c r="AB479" s="581"/>
    </row>
    <row r="480" spans="1:28" s="201" customFormat="1" ht="15.75" customHeight="1">
      <c r="A480" s="846" t="str">
        <f>IF(B480&lt;&gt;"",IF(AND(B480&gt;=_TM1,B480&lt;=_TM2,OR(TH!L480="1111",TH!M480="1111")),TH!D480,""),"")</f>
        <v/>
      </c>
      <c r="B480" s="36" t="str">
        <f t="shared" si="13"/>
        <v/>
      </c>
      <c r="C480" s="187"/>
      <c r="D480" s="187"/>
      <c r="E480" s="187"/>
      <c r="F480" s="39"/>
      <c r="G480" s="854"/>
      <c r="H480" s="189"/>
      <c r="I480" s="249"/>
      <c r="J480" s="249"/>
      <c r="K480" s="589"/>
      <c r="L480" s="590"/>
      <c r="M480" s="590"/>
      <c r="N480" s="38" t="str">
        <f>IF(AND('331-CT'!$E$7=TH!H480,OR(L480="331",M480="331")),"331",IF(AND(OR(L480="131",M480="131"),H480='131-CT'!$E$7),"131",""))</f>
        <v/>
      </c>
      <c r="O480" s="38" t="str">
        <f>IF(AND($B480&gt;='111'!$N$11,$B480&lt;='111'!$O$11,OR($L480=$O$7,$M480=$O$7)),"x","")</f>
        <v/>
      </c>
      <c r="P480" s="38" t="str">
        <f>IF(AND($L480=$O$7,$B480&lt;'111'!$N$11),"x","")</f>
        <v/>
      </c>
      <c r="Q480" s="38" t="str">
        <f>IF(AND($M480=$O$7,$B480&lt;'111'!$N$11),"x","")</f>
        <v/>
      </c>
      <c r="R480" s="38" t="str">
        <f>IF(ISERROR(FIND('112'!$M$9,G480,1)),"",IF((AND(FIND('112'!$M$9,G480,1)&gt;=1,$B480&gt;='112'!$N$8,$B480&lt;='112'!$O$8,OR($L480='112'!$I$6,$M480='112'!$I$6))),"x",""))</f>
        <v/>
      </c>
      <c r="S480" s="38" t="str">
        <f>IF(ISERROR(FIND('112'!$M$9,G480,1)),"",IF((AND(LEFT(G480,2)=LEFT('112'!$M$9,2),B480&lt;'112'!$N$8,$L480='112'!$I$6)),"x",""))</f>
        <v/>
      </c>
      <c r="T480" s="38" t="str">
        <f>IF(ISERROR(FIND('112'!$M$9,G480,1)),"",IF((AND(RIGHT(G480,2)=RIGHT('112'!$M$9,2),B480&lt;'112'!$N$8,$M480='112'!$I$6)),"x",""))</f>
        <v/>
      </c>
      <c r="U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38" t="str">
        <f>IF(OR(TH!L480=TH!$V$7,M480=TH!$V$7),"x","")</f>
        <v/>
      </c>
      <c r="W480" s="38" t="str">
        <f>IF(AND(B480&gt;='IN-NX'!$P$3,B480&lt;='IN-NX'!$Q$3,'IN-NX'!$D$7=D480,OR(LEFT(L480,2)="15",AND(LEFT(M480,2)&lt;&gt;"15",LEFT(M480,2)&lt;&gt;"33"))),"x","")</f>
        <v/>
      </c>
      <c r="X480" s="38" t="str">
        <f>IF(AND(OR(LEFT(TH!L480,2)="15",LEFT(TH!M480,2)="15"),'152-CT'!$J$8=TH!F480),"x","")</f>
        <v/>
      </c>
      <c r="Y480" s="38" t="str">
        <f>IF(AND(OR(LEFT(TH!L480,2)="15",LEFT(TH!M480,2)="15"),TK!$E$7=TH!F480),"x","")</f>
        <v/>
      </c>
      <c r="Z480" s="38" t="str">
        <f>IF(AND(B480&lt;=NKC!$N$8,B480&gt;=NKC!$M$8),"x","")</f>
        <v/>
      </c>
      <c r="AA480" s="845"/>
      <c r="AB480" s="581"/>
    </row>
    <row r="481" spans="1:28" s="201" customFormat="1" ht="15.75" customHeight="1">
      <c r="A481" s="846" t="str">
        <f>IF(B481&lt;&gt;"",IF(AND(B481&gt;=_TM1,B481&lt;=_TM2,OR(TH!L481="1111",TH!M481="1111")),TH!D481,""),"")</f>
        <v/>
      </c>
      <c r="B481" s="36" t="str">
        <f t="shared" si="13"/>
        <v/>
      </c>
      <c r="C481" s="187"/>
      <c r="D481" s="187"/>
      <c r="E481" s="187"/>
      <c r="F481" s="39"/>
      <c r="G481" s="854"/>
      <c r="H481" s="189"/>
      <c r="I481" s="249"/>
      <c r="J481" s="249"/>
      <c r="K481" s="589"/>
      <c r="L481" s="590"/>
      <c r="M481" s="590"/>
      <c r="N481" s="38" t="str">
        <f>IF(AND('331-CT'!$E$7=TH!H481,OR(L481="331",M481="331")),"331",IF(AND(OR(L481="131",M481="131"),H481='131-CT'!$E$7),"131",""))</f>
        <v/>
      </c>
      <c r="O481" s="38" t="str">
        <f>IF(AND($B481&gt;='111'!$N$11,$B481&lt;='111'!$O$11,OR($L481=$O$7,$M481=$O$7)),"x","")</f>
        <v/>
      </c>
      <c r="P481" s="38" t="str">
        <f>IF(AND($L481=$O$7,$B481&lt;'111'!$N$11),"x","")</f>
        <v/>
      </c>
      <c r="Q481" s="38" t="str">
        <f>IF(AND($M481=$O$7,$B481&lt;'111'!$N$11),"x","")</f>
        <v/>
      </c>
      <c r="R481" s="38" t="str">
        <f>IF(ISERROR(FIND('112'!$M$9,G481,1)),"",IF((AND(FIND('112'!$M$9,G481,1)&gt;=1,$B481&gt;='112'!$N$8,$B481&lt;='112'!$O$8,OR($L481='112'!$I$6,$M481='112'!$I$6))),"x",""))</f>
        <v/>
      </c>
      <c r="S481" s="38" t="str">
        <f>IF(ISERROR(FIND('112'!$M$9,G481,1)),"",IF((AND(LEFT(G481,2)=LEFT('112'!$M$9,2),B481&lt;'112'!$N$8,$L481='112'!$I$6)),"x",""))</f>
        <v/>
      </c>
      <c r="T481" s="38" t="str">
        <f>IF(ISERROR(FIND('112'!$M$9,G481,1)),"",IF((AND(RIGHT(G481,2)=RIGHT('112'!$M$9,2),B481&lt;'112'!$N$8,$M481='112'!$I$6)),"x",""))</f>
        <v/>
      </c>
      <c r="U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38" t="str">
        <f>IF(OR(TH!L481=TH!$V$7,M481=TH!$V$7),"x","")</f>
        <v/>
      </c>
      <c r="W481" s="38" t="str">
        <f>IF(AND(B481&gt;='IN-NX'!$P$3,B481&lt;='IN-NX'!$Q$3,'IN-NX'!$D$7=D481,OR(LEFT(L481,2)="15",AND(LEFT(M481,2)&lt;&gt;"15",LEFT(M481,2)&lt;&gt;"33"))),"x","")</f>
        <v/>
      </c>
      <c r="X481" s="38" t="str">
        <f>IF(AND(OR(LEFT(TH!L481,2)="15",LEFT(TH!M481,2)="15"),'152-CT'!$J$8=TH!F481),"x","")</f>
        <v/>
      </c>
      <c r="Y481" s="38" t="str">
        <f>IF(AND(OR(LEFT(TH!L481,2)="15",LEFT(TH!M481,2)="15"),TK!$E$7=TH!F481),"x","")</f>
        <v/>
      </c>
      <c r="Z481" s="38" t="str">
        <f>IF(AND(B481&lt;=NKC!$N$8,B481&gt;=NKC!$M$8),"x","")</f>
        <v/>
      </c>
      <c r="AA481" s="845"/>
      <c r="AB481" s="581"/>
    </row>
    <row r="482" spans="1:28" s="201" customFormat="1" ht="15.75" customHeight="1">
      <c r="A482" s="846" t="str">
        <f>IF(B482&lt;&gt;"",IF(AND(B482&gt;=_TM1,B482&lt;=_TM2,OR(TH!L482="1111",TH!M482="1111")),TH!D482,""),"")</f>
        <v/>
      </c>
      <c r="B482" s="36" t="str">
        <f t="shared" si="13"/>
        <v/>
      </c>
      <c r="C482" s="187"/>
      <c r="D482" s="187"/>
      <c r="E482" s="187"/>
      <c r="F482" s="39"/>
      <c r="G482" s="854"/>
      <c r="H482" s="189"/>
      <c r="I482" s="249"/>
      <c r="J482" s="249"/>
      <c r="K482" s="589"/>
      <c r="L482" s="590"/>
      <c r="M482" s="590"/>
      <c r="N482" s="38" t="str">
        <f>IF(AND('331-CT'!$E$7=TH!H482,OR(L482="331",M482="331")),"331",IF(AND(OR(L482="131",M482="131"),H482='131-CT'!$E$7),"131",""))</f>
        <v/>
      </c>
      <c r="O482" s="38" t="str">
        <f>IF(AND($B482&gt;='111'!$N$11,$B482&lt;='111'!$O$11,OR($L482=$O$7,$M482=$O$7)),"x","")</f>
        <v/>
      </c>
      <c r="P482" s="38" t="str">
        <f>IF(AND($L482=$O$7,$B482&lt;'111'!$N$11),"x","")</f>
        <v/>
      </c>
      <c r="Q482" s="38" t="str">
        <f>IF(AND($M482=$O$7,$B482&lt;'111'!$N$11),"x","")</f>
        <v/>
      </c>
      <c r="R482" s="38" t="str">
        <f>IF(ISERROR(FIND('112'!$M$9,G482,1)),"",IF((AND(FIND('112'!$M$9,G482,1)&gt;=1,$B482&gt;='112'!$N$8,$B482&lt;='112'!$O$8,OR($L482='112'!$I$6,$M482='112'!$I$6))),"x",""))</f>
        <v/>
      </c>
      <c r="S482" s="38" t="str">
        <f>IF(ISERROR(FIND('112'!$M$9,G482,1)),"",IF((AND(LEFT(G482,2)=LEFT('112'!$M$9,2),B482&lt;'112'!$N$8,$L482='112'!$I$6)),"x",""))</f>
        <v/>
      </c>
      <c r="T482" s="38" t="str">
        <f>IF(ISERROR(FIND('112'!$M$9,G482,1)),"",IF((AND(RIGHT(G482,2)=RIGHT('112'!$M$9,2),B482&lt;'112'!$N$8,$M482='112'!$I$6)),"x",""))</f>
        <v/>
      </c>
      <c r="U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38" t="str">
        <f>IF(OR(TH!L482=TH!$V$7,M482=TH!$V$7),"x","")</f>
        <v/>
      </c>
      <c r="W482" s="38" t="str">
        <f>IF(AND(B482&gt;='IN-NX'!$P$3,B482&lt;='IN-NX'!$Q$3,'IN-NX'!$D$7=D482,OR(LEFT(L482,2)="15",AND(LEFT(M482,2)&lt;&gt;"15",LEFT(M482,2)&lt;&gt;"33"))),"x","")</f>
        <v/>
      </c>
      <c r="X482" s="38" t="str">
        <f>IF(AND(OR(LEFT(TH!L482,2)="15",LEFT(TH!M482,2)="15"),'152-CT'!$J$8=TH!F482),"x","")</f>
        <v/>
      </c>
      <c r="Y482" s="38" t="str">
        <f>IF(AND(OR(LEFT(TH!L482,2)="15",LEFT(TH!M482,2)="15"),TK!$E$7=TH!F482),"x","")</f>
        <v/>
      </c>
      <c r="Z482" s="38" t="str">
        <f>IF(AND(B482&lt;=NKC!$N$8,B482&gt;=NKC!$M$8),"x","")</f>
        <v/>
      </c>
      <c r="AA482" s="845"/>
      <c r="AB482" s="581"/>
    </row>
    <row r="483" spans="1:28" s="201" customFormat="1" ht="15.75" customHeight="1">
      <c r="A483" s="846" t="str">
        <f>IF(B483&lt;&gt;"",IF(AND(B483&gt;=_TM1,B483&lt;=_TM2,OR(TH!L483="1111",TH!M483="1111")),TH!D483,""),"")</f>
        <v/>
      </c>
      <c r="B483" s="36" t="str">
        <f t="shared" si="13"/>
        <v/>
      </c>
      <c r="C483" s="187"/>
      <c r="D483" s="187"/>
      <c r="E483" s="187"/>
      <c r="F483" s="39"/>
      <c r="G483" s="854"/>
      <c r="H483" s="189"/>
      <c r="I483" s="249"/>
      <c r="J483" s="249"/>
      <c r="K483" s="589"/>
      <c r="L483" s="590"/>
      <c r="M483" s="590"/>
      <c r="N483" s="38" t="str">
        <f>IF(AND('331-CT'!$E$7=TH!H483,OR(L483="331",M483="331")),"331",IF(AND(OR(L483="131",M483="131"),H483='131-CT'!$E$7),"131",""))</f>
        <v/>
      </c>
      <c r="O483" s="38" t="str">
        <f>IF(AND($B483&gt;='111'!$N$11,$B483&lt;='111'!$O$11,OR($L483=$O$7,$M483=$O$7)),"x","")</f>
        <v/>
      </c>
      <c r="P483" s="38" t="str">
        <f>IF(AND($L483=$O$7,$B483&lt;'111'!$N$11),"x","")</f>
        <v/>
      </c>
      <c r="Q483" s="38" t="str">
        <f>IF(AND($M483=$O$7,$B483&lt;'111'!$N$11),"x","")</f>
        <v/>
      </c>
      <c r="R483" s="38" t="str">
        <f>IF(ISERROR(FIND('112'!$M$9,G483,1)),"",IF((AND(FIND('112'!$M$9,G483,1)&gt;=1,$B483&gt;='112'!$N$8,$B483&lt;='112'!$O$8,OR($L483='112'!$I$6,$M483='112'!$I$6))),"x",""))</f>
        <v/>
      </c>
      <c r="S483" s="38" t="str">
        <f>IF(ISERROR(FIND('112'!$M$9,G483,1)),"",IF((AND(LEFT(G483,2)=LEFT('112'!$M$9,2),B483&lt;'112'!$N$8,$L483='112'!$I$6)),"x",""))</f>
        <v/>
      </c>
      <c r="T483" s="38" t="str">
        <f>IF(ISERROR(FIND('112'!$M$9,G483,1)),"",IF((AND(RIGHT(G483,2)=RIGHT('112'!$M$9,2),B483&lt;'112'!$N$8,$M483='112'!$I$6)),"x",""))</f>
        <v/>
      </c>
      <c r="U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38" t="str">
        <f>IF(OR(TH!L483=TH!$V$7,M483=TH!$V$7),"x","")</f>
        <v/>
      </c>
      <c r="W483" s="38" t="str">
        <f>IF(AND(B483&gt;='IN-NX'!$P$3,B483&lt;='IN-NX'!$Q$3,'IN-NX'!$D$7=D483,OR(LEFT(L483,2)="15",AND(LEFT(M483,2)&lt;&gt;"15",LEFT(M483,2)&lt;&gt;"33"))),"x","")</f>
        <v/>
      </c>
      <c r="X483" s="38" t="str">
        <f>IF(AND(OR(LEFT(TH!L483,2)="15",LEFT(TH!M483,2)="15"),'152-CT'!$J$8=TH!F483),"x","")</f>
        <v/>
      </c>
      <c r="Y483" s="38" t="str">
        <f>IF(AND(OR(LEFT(TH!L483,2)="15",LEFT(TH!M483,2)="15"),TK!$E$7=TH!F483),"x","")</f>
        <v/>
      </c>
      <c r="Z483" s="38" t="str">
        <f>IF(AND(B483&lt;=NKC!$N$8,B483&gt;=NKC!$M$8),"x","")</f>
        <v/>
      </c>
      <c r="AA483" s="845"/>
      <c r="AB483" s="581"/>
    </row>
    <row r="484" spans="1:28" s="201" customFormat="1" ht="15.75" customHeight="1">
      <c r="A484" s="846" t="str">
        <f>IF(B484&lt;&gt;"",IF(AND(B484&gt;=_TM1,B484&lt;=_TM2,OR(TH!L484="1111",TH!M484="1111")),TH!D484,""),"")</f>
        <v/>
      </c>
      <c r="B484" s="36" t="str">
        <f t="shared" si="13"/>
        <v/>
      </c>
      <c r="C484" s="187"/>
      <c r="D484" s="187"/>
      <c r="E484" s="187"/>
      <c r="F484" s="39"/>
      <c r="G484" s="854"/>
      <c r="H484" s="189"/>
      <c r="I484" s="249"/>
      <c r="J484" s="249"/>
      <c r="K484" s="589"/>
      <c r="L484" s="590"/>
      <c r="M484" s="590"/>
      <c r="N484" s="38" t="str">
        <f>IF(AND('331-CT'!$E$7=TH!H484,OR(L484="331",M484="331")),"331",IF(AND(OR(L484="131",M484="131"),H484='131-CT'!$E$7),"131",""))</f>
        <v/>
      </c>
      <c r="O484" s="38" t="str">
        <f>IF(AND($B484&gt;='111'!$N$11,$B484&lt;='111'!$O$11,OR($L484=$O$7,$M484=$O$7)),"x","")</f>
        <v/>
      </c>
      <c r="P484" s="38" t="str">
        <f>IF(AND($L484=$O$7,$B484&lt;'111'!$N$11),"x","")</f>
        <v/>
      </c>
      <c r="Q484" s="38" t="str">
        <f>IF(AND($M484=$O$7,$B484&lt;'111'!$N$11),"x","")</f>
        <v/>
      </c>
      <c r="R484" s="38" t="str">
        <f>IF(ISERROR(FIND('112'!$M$9,G484,1)),"",IF((AND(FIND('112'!$M$9,G484,1)&gt;=1,$B484&gt;='112'!$N$8,$B484&lt;='112'!$O$8,OR($L484='112'!$I$6,$M484='112'!$I$6))),"x",""))</f>
        <v/>
      </c>
      <c r="S484" s="38" t="str">
        <f>IF(ISERROR(FIND('112'!$M$9,G484,1)),"",IF((AND(LEFT(G484,2)=LEFT('112'!$M$9,2),B484&lt;'112'!$N$8,$L484='112'!$I$6)),"x",""))</f>
        <v/>
      </c>
      <c r="T484" s="38" t="str">
        <f>IF(ISERROR(FIND('112'!$M$9,G484,1)),"",IF((AND(RIGHT(G484,2)=RIGHT('112'!$M$9,2),B484&lt;'112'!$N$8,$M484='112'!$I$6)),"x",""))</f>
        <v/>
      </c>
      <c r="U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38" t="str">
        <f>IF(OR(TH!L484=TH!$V$7,M484=TH!$V$7),"x","")</f>
        <v/>
      </c>
      <c r="W484" s="38" t="str">
        <f>IF(AND(B484&gt;='IN-NX'!$P$3,B484&lt;='IN-NX'!$Q$3,'IN-NX'!$D$7=D484,OR(LEFT(L484,2)="15",AND(LEFT(M484,2)&lt;&gt;"15",LEFT(M484,2)&lt;&gt;"33"))),"x","")</f>
        <v/>
      </c>
      <c r="X484" s="38" t="str">
        <f>IF(AND(OR(LEFT(TH!L484,2)="15",LEFT(TH!M484,2)="15"),'152-CT'!$J$8=TH!F484),"x","")</f>
        <v/>
      </c>
      <c r="Y484" s="38" t="str">
        <f>IF(AND(OR(LEFT(TH!L484,2)="15",LEFT(TH!M484,2)="15"),TK!$E$7=TH!F484),"x","")</f>
        <v/>
      </c>
      <c r="Z484" s="38" t="str">
        <f>IF(AND(B484&lt;=NKC!$N$8,B484&gt;=NKC!$M$8),"x","")</f>
        <v/>
      </c>
      <c r="AA484" s="845"/>
      <c r="AB484" s="581"/>
    </row>
    <row r="485" spans="1:28" s="201" customFormat="1" ht="15.75" customHeight="1">
      <c r="A485" s="846" t="str">
        <f>IF(B485&lt;&gt;"",IF(AND(B485&gt;=_TM1,B485&lt;=_TM2,OR(TH!L485="1111",TH!M485="1111")),TH!D485,""),"")</f>
        <v/>
      </c>
      <c r="B485" s="36" t="str">
        <f t="shared" si="13"/>
        <v/>
      </c>
      <c r="C485" s="187"/>
      <c r="D485" s="187"/>
      <c r="E485" s="187"/>
      <c r="F485" s="39"/>
      <c r="G485" s="854"/>
      <c r="H485" s="189"/>
      <c r="I485" s="249"/>
      <c r="J485" s="249"/>
      <c r="K485" s="589"/>
      <c r="L485" s="590"/>
      <c r="M485" s="590"/>
      <c r="N485" s="38" t="str">
        <f>IF(AND('331-CT'!$E$7=TH!H485,OR(L485="331",M485="331")),"331",IF(AND(OR(L485="131",M485="131"),H485='131-CT'!$E$7),"131",""))</f>
        <v/>
      </c>
      <c r="O485" s="38" t="str">
        <f>IF(AND($B485&gt;='111'!$N$11,$B485&lt;='111'!$O$11,OR($L485=$O$7,$M485=$O$7)),"x","")</f>
        <v/>
      </c>
      <c r="P485" s="38" t="str">
        <f>IF(AND($L485=$O$7,$B485&lt;'111'!$N$11),"x","")</f>
        <v/>
      </c>
      <c r="Q485" s="38" t="str">
        <f>IF(AND($M485=$O$7,$B485&lt;'111'!$N$11),"x","")</f>
        <v/>
      </c>
      <c r="R485" s="38" t="str">
        <f>IF(ISERROR(FIND('112'!$M$9,G485,1)),"",IF((AND(FIND('112'!$M$9,G485,1)&gt;=1,$B485&gt;='112'!$N$8,$B485&lt;='112'!$O$8,OR($L485='112'!$I$6,$M485='112'!$I$6))),"x",""))</f>
        <v/>
      </c>
      <c r="S485" s="38" t="str">
        <f>IF(ISERROR(FIND('112'!$M$9,G485,1)),"",IF((AND(LEFT(G485,2)=LEFT('112'!$M$9,2),B485&lt;'112'!$N$8,$L485='112'!$I$6)),"x",""))</f>
        <v/>
      </c>
      <c r="T485" s="38" t="str">
        <f>IF(ISERROR(FIND('112'!$M$9,G485,1)),"",IF((AND(RIGHT(G485,2)=RIGHT('112'!$M$9,2),B485&lt;'112'!$N$8,$M485='112'!$I$6)),"x",""))</f>
        <v/>
      </c>
      <c r="U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38" t="str">
        <f>IF(OR(TH!L485=TH!$V$7,M485=TH!$V$7),"x","")</f>
        <v/>
      </c>
      <c r="W485" s="38" t="str">
        <f>IF(AND(B485&gt;='IN-NX'!$P$3,B485&lt;='IN-NX'!$Q$3,'IN-NX'!$D$7=D485,OR(LEFT(L485,2)="15",AND(LEFT(M485,2)&lt;&gt;"15",LEFT(M485,2)&lt;&gt;"33"))),"x","")</f>
        <v/>
      </c>
      <c r="X485" s="38" t="str">
        <f>IF(AND(OR(LEFT(TH!L485,2)="15",LEFT(TH!M485,2)="15"),'152-CT'!$J$8=TH!F485),"x","")</f>
        <v/>
      </c>
      <c r="Y485" s="38" t="str">
        <f>IF(AND(OR(LEFT(TH!L485,2)="15",LEFT(TH!M485,2)="15"),TK!$E$7=TH!F485),"x","")</f>
        <v/>
      </c>
      <c r="Z485" s="38" t="str">
        <f>IF(AND(B485&lt;=NKC!$N$8,B485&gt;=NKC!$M$8),"x","")</f>
        <v/>
      </c>
      <c r="AA485" s="845"/>
      <c r="AB485" s="581"/>
    </row>
    <row r="486" spans="1:28" s="201" customFormat="1" ht="15.75" customHeight="1">
      <c r="A486" s="846" t="str">
        <f>IF(B486&lt;&gt;"",IF(AND(B486&gt;=_TM1,B486&lt;=_TM2,OR(TH!L486="1111",TH!M486="1111")),TH!D486,""),"")</f>
        <v/>
      </c>
      <c r="B486" s="36" t="str">
        <f t="shared" si="13"/>
        <v/>
      </c>
      <c r="C486" s="187"/>
      <c r="D486" s="187"/>
      <c r="E486" s="187"/>
      <c r="F486" s="39"/>
      <c r="G486" s="854"/>
      <c r="H486" s="189"/>
      <c r="I486" s="249"/>
      <c r="J486" s="249"/>
      <c r="K486" s="589"/>
      <c r="L486" s="590"/>
      <c r="M486" s="590"/>
      <c r="N486" s="38" t="str">
        <f>IF(AND('331-CT'!$E$7=TH!H486,OR(L486="331",M486="331")),"331",IF(AND(OR(L486="131",M486="131"),H486='131-CT'!$E$7),"131",""))</f>
        <v/>
      </c>
      <c r="O486" s="38" t="str">
        <f>IF(AND($B486&gt;='111'!$N$11,$B486&lt;='111'!$O$11,OR($L486=$O$7,$M486=$O$7)),"x","")</f>
        <v/>
      </c>
      <c r="P486" s="38" t="str">
        <f>IF(AND($L486=$O$7,$B486&lt;'111'!$N$11),"x","")</f>
        <v/>
      </c>
      <c r="Q486" s="38" t="str">
        <f>IF(AND($M486=$O$7,$B486&lt;'111'!$N$11),"x","")</f>
        <v/>
      </c>
      <c r="R486" s="38" t="str">
        <f>IF(ISERROR(FIND('112'!$M$9,G486,1)),"",IF((AND(FIND('112'!$M$9,G486,1)&gt;=1,$B486&gt;='112'!$N$8,$B486&lt;='112'!$O$8,OR($L486='112'!$I$6,$M486='112'!$I$6))),"x",""))</f>
        <v/>
      </c>
      <c r="S486" s="38" t="str">
        <f>IF(ISERROR(FIND('112'!$M$9,G486,1)),"",IF((AND(LEFT(G486,2)=LEFT('112'!$M$9,2),B486&lt;'112'!$N$8,$L486='112'!$I$6)),"x",""))</f>
        <v/>
      </c>
      <c r="T486" s="38" t="str">
        <f>IF(ISERROR(FIND('112'!$M$9,G486,1)),"",IF((AND(RIGHT(G486,2)=RIGHT('112'!$M$9,2),B486&lt;'112'!$N$8,$M486='112'!$I$6)),"x",""))</f>
        <v/>
      </c>
      <c r="U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38" t="str">
        <f>IF(OR(TH!L486=TH!$V$7,M486=TH!$V$7),"x","")</f>
        <v/>
      </c>
      <c r="W486" s="38" t="str">
        <f>IF(AND(B486&gt;='IN-NX'!$P$3,B486&lt;='IN-NX'!$Q$3,'IN-NX'!$D$7=D486,OR(LEFT(L486,2)="15",AND(LEFT(M486,2)&lt;&gt;"15",LEFT(M486,2)&lt;&gt;"33"))),"x","")</f>
        <v/>
      </c>
      <c r="X486" s="38" t="str">
        <f>IF(AND(OR(LEFT(TH!L486,2)="15",LEFT(TH!M486,2)="15"),'152-CT'!$J$8=TH!F486),"x","")</f>
        <v/>
      </c>
      <c r="Y486" s="38" t="str">
        <f>IF(AND(OR(LEFT(TH!L486,2)="15",LEFT(TH!M486,2)="15"),TK!$E$7=TH!F486),"x","")</f>
        <v/>
      </c>
      <c r="Z486" s="38" t="str">
        <f>IF(AND(B486&lt;=NKC!$N$8,B486&gt;=NKC!$M$8),"x","")</f>
        <v/>
      </c>
      <c r="AA486" s="845"/>
      <c r="AB486" s="581"/>
    </row>
    <row r="487" spans="1:28" s="201" customFormat="1" ht="15.75" customHeight="1">
      <c r="A487" s="846" t="str">
        <f>IF(B487&lt;&gt;"",IF(AND(B487&gt;=_TM1,B487&lt;=_TM2,OR(TH!L487="1111",TH!M487="1111")),TH!D487,""),"")</f>
        <v/>
      </c>
      <c r="B487" s="36" t="str">
        <f t="shared" si="13"/>
        <v/>
      </c>
      <c r="C487" s="187"/>
      <c r="D487" s="187"/>
      <c r="E487" s="187"/>
      <c r="F487" s="39"/>
      <c r="G487" s="854"/>
      <c r="H487" s="189"/>
      <c r="I487" s="249"/>
      <c r="J487" s="249"/>
      <c r="K487" s="589"/>
      <c r="L487" s="590"/>
      <c r="M487" s="590"/>
      <c r="N487" s="38" t="str">
        <f>IF(AND('331-CT'!$E$7=TH!H487,OR(L487="331",M487="331")),"331",IF(AND(OR(L487="131",M487="131"),H487='131-CT'!$E$7),"131",""))</f>
        <v/>
      </c>
      <c r="O487" s="38" t="str">
        <f>IF(AND($B487&gt;='111'!$N$11,$B487&lt;='111'!$O$11,OR($L487=$O$7,$M487=$O$7)),"x","")</f>
        <v/>
      </c>
      <c r="P487" s="38" t="str">
        <f>IF(AND($L487=$O$7,$B487&lt;'111'!$N$11),"x","")</f>
        <v/>
      </c>
      <c r="Q487" s="38" t="str">
        <f>IF(AND($M487=$O$7,$B487&lt;'111'!$N$11),"x","")</f>
        <v/>
      </c>
      <c r="R487" s="38" t="str">
        <f>IF(ISERROR(FIND('112'!$M$9,G487,1)),"",IF((AND(FIND('112'!$M$9,G487,1)&gt;=1,$B487&gt;='112'!$N$8,$B487&lt;='112'!$O$8,OR($L487='112'!$I$6,$M487='112'!$I$6))),"x",""))</f>
        <v/>
      </c>
      <c r="S487" s="38" t="str">
        <f>IF(ISERROR(FIND('112'!$M$9,G487,1)),"",IF((AND(LEFT(G487,2)=LEFT('112'!$M$9,2),B487&lt;'112'!$N$8,$L487='112'!$I$6)),"x",""))</f>
        <v/>
      </c>
      <c r="T487" s="38" t="str">
        <f>IF(ISERROR(FIND('112'!$M$9,G487,1)),"",IF((AND(RIGHT(G487,2)=RIGHT('112'!$M$9,2),B487&lt;'112'!$N$8,$M487='112'!$I$6)),"x",""))</f>
        <v/>
      </c>
      <c r="U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38" t="str">
        <f>IF(OR(TH!L487=TH!$V$7,M487=TH!$V$7),"x","")</f>
        <v/>
      </c>
      <c r="W487" s="38" t="str">
        <f>IF(AND(B487&gt;='IN-NX'!$P$3,B487&lt;='IN-NX'!$Q$3,'IN-NX'!$D$7=D487,OR(LEFT(L487,2)="15",AND(LEFT(M487,2)&lt;&gt;"15",LEFT(M487,2)&lt;&gt;"33"))),"x","")</f>
        <v/>
      </c>
      <c r="X487" s="38" t="str">
        <f>IF(AND(OR(LEFT(TH!L487,2)="15",LEFT(TH!M487,2)="15"),'152-CT'!$J$8=TH!F487),"x","")</f>
        <v/>
      </c>
      <c r="Y487" s="38" t="str">
        <f>IF(AND(OR(LEFT(TH!L487,2)="15",LEFT(TH!M487,2)="15"),TK!$E$7=TH!F487),"x","")</f>
        <v/>
      </c>
      <c r="Z487" s="38" t="str">
        <f>IF(AND(B487&lt;=NKC!$N$8,B487&gt;=NKC!$M$8),"x","")</f>
        <v/>
      </c>
      <c r="AA487" s="845"/>
      <c r="AB487" s="581"/>
    </row>
    <row r="488" spans="1:28" s="201" customFormat="1" ht="15.75" customHeight="1">
      <c r="A488" s="846" t="str">
        <f>IF(B488&lt;&gt;"",IF(AND(B488&gt;=_TM1,B488&lt;=_TM2,OR(TH!L488="1111",TH!M488="1111")),TH!D488,""),"")</f>
        <v/>
      </c>
      <c r="B488" s="36" t="str">
        <f t="shared" si="13"/>
        <v/>
      </c>
      <c r="C488" s="187"/>
      <c r="D488" s="187"/>
      <c r="E488" s="187"/>
      <c r="F488" s="39"/>
      <c r="G488" s="854"/>
      <c r="H488" s="189"/>
      <c r="I488" s="249"/>
      <c r="J488" s="249"/>
      <c r="K488" s="589"/>
      <c r="L488" s="590"/>
      <c r="M488" s="590"/>
      <c r="N488" s="38" t="str">
        <f>IF(AND('331-CT'!$E$7=TH!H488,OR(L488="331",M488="331")),"331",IF(AND(OR(L488="131",M488="131"),H488='131-CT'!$E$7),"131",""))</f>
        <v/>
      </c>
      <c r="O488" s="38" t="str">
        <f>IF(AND($B488&gt;='111'!$N$11,$B488&lt;='111'!$O$11,OR($L488=$O$7,$M488=$O$7)),"x","")</f>
        <v/>
      </c>
      <c r="P488" s="38" t="str">
        <f>IF(AND($L488=$O$7,$B488&lt;'111'!$N$11),"x","")</f>
        <v/>
      </c>
      <c r="Q488" s="38" t="str">
        <f>IF(AND($M488=$O$7,$B488&lt;'111'!$N$11),"x","")</f>
        <v/>
      </c>
      <c r="R488" s="38" t="str">
        <f>IF(ISERROR(FIND('112'!$M$9,G488,1)),"",IF((AND(FIND('112'!$M$9,G488,1)&gt;=1,$B488&gt;='112'!$N$8,$B488&lt;='112'!$O$8,OR($L488='112'!$I$6,$M488='112'!$I$6))),"x",""))</f>
        <v/>
      </c>
      <c r="S488" s="38" t="str">
        <f>IF(ISERROR(FIND('112'!$M$9,G488,1)),"",IF((AND(LEFT(G488,2)=LEFT('112'!$M$9,2),B488&lt;'112'!$N$8,$L488='112'!$I$6)),"x",""))</f>
        <v/>
      </c>
      <c r="T488" s="38" t="str">
        <f>IF(ISERROR(FIND('112'!$M$9,G488,1)),"",IF((AND(RIGHT(G488,2)=RIGHT('112'!$M$9,2),B488&lt;'112'!$N$8,$M488='112'!$I$6)),"x",""))</f>
        <v/>
      </c>
      <c r="U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38" t="str">
        <f>IF(OR(TH!L488=TH!$V$7,M488=TH!$V$7),"x","")</f>
        <v/>
      </c>
      <c r="W488" s="38" t="str">
        <f>IF(AND(B488&gt;='IN-NX'!$P$3,B488&lt;='IN-NX'!$Q$3,'IN-NX'!$D$7=D488,OR(LEFT(L488,2)="15",AND(LEFT(M488,2)&lt;&gt;"15",LEFT(M488,2)&lt;&gt;"33"))),"x","")</f>
        <v/>
      </c>
      <c r="X488" s="38" t="str">
        <f>IF(AND(OR(LEFT(TH!L488,2)="15",LEFT(TH!M488,2)="15"),'152-CT'!$J$8=TH!F488),"x","")</f>
        <v/>
      </c>
      <c r="Y488" s="38" t="str">
        <f>IF(AND(OR(LEFT(TH!L488,2)="15",LEFT(TH!M488,2)="15"),TK!$E$7=TH!F488),"x","")</f>
        <v/>
      </c>
      <c r="Z488" s="38" t="str">
        <f>IF(AND(B488&lt;=NKC!$N$8,B488&gt;=NKC!$M$8),"x","")</f>
        <v/>
      </c>
      <c r="AA488" s="845"/>
      <c r="AB488" s="581"/>
    </row>
    <row r="489" spans="1:28" s="201" customFormat="1" ht="15.75" customHeight="1">
      <c r="A489" s="846" t="str">
        <f>IF(B489&lt;&gt;"",IF(AND(B489&gt;=_TM1,B489&lt;=_TM2,OR(TH!L489="1111",TH!M489="1111")),TH!D489,""),"")</f>
        <v/>
      </c>
      <c r="B489" s="36" t="str">
        <f t="shared" si="13"/>
        <v/>
      </c>
      <c r="C489" s="187"/>
      <c r="D489" s="187"/>
      <c r="E489" s="187"/>
      <c r="F489" s="39"/>
      <c r="G489" s="854"/>
      <c r="H489" s="189"/>
      <c r="I489" s="249"/>
      <c r="J489" s="249"/>
      <c r="K489" s="589"/>
      <c r="L489" s="590"/>
      <c r="M489" s="590"/>
      <c r="N489" s="38" t="str">
        <f>IF(AND('331-CT'!$E$7=TH!H489,OR(L489="331",M489="331")),"331",IF(AND(OR(L489="131",M489="131"),H489='131-CT'!$E$7),"131",""))</f>
        <v/>
      </c>
      <c r="O489" s="38" t="str">
        <f>IF(AND($B489&gt;='111'!$N$11,$B489&lt;='111'!$O$11,OR($L489=$O$7,$M489=$O$7)),"x","")</f>
        <v/>
      </c>
      <c r="P489" s="38" t="str">
        <f>IF(AND($L489=$O$7,$B489&lt;'111'!$N$11),"x","")</f>
        <v/>
      </c>
      <c r="Q489" s="38" t="str">
        <f>IF(AND($M489=$O$7,$B489&lt;'111'!$N$11),"x","")</f>
        <v/>
      </c>
      <c r="R489" s="38" t="str">
        <f>IF(ISERROR(FIND('112'!$M$9,G489,1)),"",IF((AND(FIND('112'!$M$9,G489,1)&gt;=1,$B489&gt;='112'!$N$8,$B489&lt;='112'!$O$8,OR($L489='112'!$I$6,$M489='112'!$I$6))),"x",""))</f>
        <v/>
      </c>
      <c r="S489" s="38" t="str">
        <f>IF(ISERROR(FIND('112'!$M$9,G489,1)),"",IF((AND(LEFT(G489,2)=LEFT('112'!$M$9,2),B489&lt;'112'!$N$8,$L489='112'!$I$6)),"x",""))</f>
        <v/>
      </c>
      <c r="T489" s="38" t="str">
        <f>IF(ISERROR(FIND('112'!$M$9,G489,1)),"",IF((AND(RIGHT(G489,2)=RIGHT('112'!$M$9,2),B489&lt;'112'!$N$8,$M489='112'!$I$6)),"x",""))</f>
        <v/>
      </c>
      <c r="U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38" t="str">
        <f>IF(OR(TH!L489=TH!$V$7,M489=TH!$V$7),"x","")</f>
        <v/>
      </c>
      <c r="W489" s="38" t="str">
        <f>IF(AND(B489&gt;='IN-NX'!$P$3,B489&lt;='IN-NX'!$Q$3,'IN-NX'!$D$7=D489,OR(LEFT(L489,2)="15",AND(LEFT(M489,2)&lt;&gt;"15",LEFT(M489,2)&lt;&gt;"33"))),"x","")</f>
        <v/>
      </c>
      <c r="X489" s="38" t="str">
        <f>IF(AND(OR(LEFT(TH!L489,2)="15",LEFT(TH!M489,2)="15"),'152-CT'!$J$8=TH!F489),"x","")</f>
        <v/>
      </c>
      <c r="Y489" s="38" t="str">
        <f>IF(AND(OR(LEFT(TH!L489,2)="15",LEFT(TH!M489,2)="15"),TK!$E$7=TH!F489),"x","")</f>
        <v/>
      </c>
      <c r="Z489" s="38" t="str">
        <f>IF(AND(B489&lt;=NKC!$N$8,B489&gt;=NKC!$M$8),"x","")</f>
        <v/>
      </c>
      <c r="AA489" s="845"/>
      <c r="AB489" s="581"/>
    </row>
    <row r="490" spans="1:28" s="201" customFormat="1" ht="15.75" customHeight="1">
      <c r="A490" s="846" t="str">
        <f>IF(B490&lt;&gt;"",IF(AND(B490&gt;=_TM1,B490&lt;=_TM2,OR(TH!L490="1111",TH!M490="1111")),TH!D490,""),"")</f>
        <v/>
      </c>
      <c r="B490" s="36" t="str">
        <f t="shared" si="13"/>
        <v/>
      </c>
      <c r="C490" s="187"/>
      <c r="D490" s="187"/>
      <c r="E490" s="187"/>
      <c r="F490" s="39"/>
      <c r="G490" s="854"/>
      <c r="H490" s="189"/>
      <c r="I490" s="249"/>
      <c r="J490" s="249"/>
      <c r="K490" s="589"/>
      <c r="L490" s="590"/>
      <c r="M490" s="590"/>
      <c r="N490" s="38" t="str">
        <f>IF(AND('331-CT'!$E$7=TH!H490,OR(L490="331",M490="331")),"331",IF(AND(OR(L490="131",M490="131"),H490='131-CT'!$E$7),"131",""))</f>
        <v/>
      </c>
      <c r="O490" s="38" t="str">
        <f>IF(AND($B490&gt;='111'!$N$11,$B490&lt;='111'!$O$11,OR($L490=$O$7,$M490=$O$7)),"x","")</f>
        <v/>
      </c>
      <c r="P490" s="38" t="str">
        <f>IF(AND($L490=$O$7,$B490&lt;'111'!$N$11),"x","")</f>
        <v/>
      </c>
      <c r="Q490" s="38" t="str">
        <f>IF(AND($M490=$O$7,$B490&lt;'111'!$N$11),"x","")</f>
        <v/>
      </c>
      <c r="R490" s="38" t="str">
        <f>IF(ISERROR(FIND('112'!$M$9,G490,1)),"",IF((AND(FIND('112'!$M$9,G490,1)&gt;=1,$B490&gt;='112'!$N$8,$B490&lt;='112'!$O$8,OR($L490='112'!$I$6,$M490='112'!$I$6))),"x",""))</f>
        <v/>
      </c>
      <c r="S490" s="38" t="str">
        <f>IF(ISERROR(FIND('112'!$M$9,G490,1)),"",IF((AND(LEFT(G490,2)=LEFT('112'!$M$9,2),B490&lt;'112'!$N$8,$L490='112'!$I$6)),"x",""))</f>
        <v/>
      </c>
      <c r="T490" s="38" t="str">
        <f>IF(ISERROR(FIND('112'!$M$9,G490,1)),"",IF((AND(RIGHT(G490,2)=RIGHT('112'!$M$9,2),B490&lt;'112'!$N$8,$M490='112'!$I$6)),"x",""))</f>
        <v/>
      </c>
      <c r="U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V490" s="38" t="str">
        <f>IF(OR(TH!L490=TH!$V$7,M490=TH!$V$7),"x","")</f>
        <v/>
      </c>
      <c r="W490" s="38" t="str">
        <f>IF(AND(B490&gt;='IN-NX'!$P$3,B490&lt;='IN-NX'!$Q$3,'IN-NX'!$D$7=D490,OR(LEFT(L490,2)="15",AND(LEFT(M490,2)&lt;&gt;"15",LEFT(M490,2)&lt;&gt;"33"))),"x","")</f>
        <v/>
      </c>
      <c r="X490" s="38" t="str">
        <f>IF(AND(OR(LEFT(TH!L490,2)="15",LEFT(TH!M490,2)="15"),'152-CT'!$J$8=TH!F490),"x","")</f>
        <v/>
      </c>
      <c r="Y490" s="38" t="str">
        <f>IF(AND(OR(LEFT(TH!L490,2)="15",LEFT(TH!M490,2)="15"),TK!$E$7=TH!F490),"x","")</f>
        <v/>
      </c>
      <c r="Z490" s="38" t="str">
        <f>IF(AND(B490&lt;=NKC!$N$8,B490&gt;=NKC!$M$8),"x","")</f>
        <v/>
      </c>
      <c r="AA490" s="845"/>
      <c r="AB490" s="581"/>
    </row>
    <row r="491" spans="1:28" s="201" customFormat="1" ht="15.75" customHeight="1">
      <c r="A491" s="846" t="str">
        <f>IF(B491&lt;&gt;"",IF(AND(B491&gt;=_TM1,B491&lt;=_TM2,OR(TH!L491="1111",TH!M491="1111")),TH!D491,""),"")</f>
        <v/>
      </c>
      <c r="B491" s="36" t="str">
        <f t="shared" si="13"/>
        <v/>
      </c>
      <c r="C491" s="187"/>
      <c r="D491" s="187"/>
      <c r="E491" s="187"/>
      <c r="F491" s="188"/>
      <c r="G491" s="854"/>
      <c r="H491" s="189"/>
      <c r="I491" s="249"/>
      <c r="J491" s="249"/>
      <c r="K491" s="589"/>
      <c r="L491" s="590"/>
      <c r="M491" s="590"/>
      <c r="N491" s="38" t="str">
        <f>IF(AND('331-CT'!$E$7=TH!H491,OR(L491="331",M491="331")),"331",IF(AND(OR(L491="131",M491="131"),H491='131-CT'!$E$7),"131",""))</f>
        <v/>
      </c>
      <c r="O491" s="38" t="str">
        <f>IF(AND($B491&gt;='111'!$N$11,$B491&lt;='111'!$O$11,OR($L491=$O$7,$M491=$O$7)),"x","")</f>
        <v/>
      </c>
      <c r="P491" s="38" t="str">
        <f>IF(AND($L491=$O$7,$B491&lt;'111'!$N$11),"x","")</f>
        <v/>
      </c>
      <c r="Q491" s="38" t="str">
        <f>IF(AND($M491=$O$7,$B491&lt;'111'!$N$11),"x","")</f>
        <v/>
      </c>
      <c r="R491" s="38" t="str">
        <f>IF(ISERROR(FIND('112'!$M$9,G491,1)),"",IF((AND(FIND('112'!$M$9,G491,1)&gt;=1,$B491&gt;='112'!$N$8,$B491&lt;='112'!$O$8,OR($L491='112'!$I$6,$M491='112'!$I$6))),"x",""))</f>
        <v/>
      </c>
      <c r="S491" s="38" t="str">
        <f>IF(ISERROR(FIND('112'!$M$9,G491,1)),"",IF((AND(LEFT(G491,2)=LEFT('112'!$M$9,2),B491&lt;'112'!$N$8,$L491='112'!$I$6)),"x",""))</f>
        <v/>
      </c>
      <c r="T491" s="38" t="str">
        <f>IF(ISERROR(FIND('112'!$M$9,G491,1)),"",IF((AND(RIGHT(G491,2)=RIGHT('112'!$M$9,2),B491&lt;'112'!$N$8,$M491='112'!$I$6)),"x",""))</f>
        <v/>
      </c>
      <c r="U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38" t="str">
        <f>IF(OR(TH!L491=TH!$V$7,M491=TH!$V$7),"x","")</f>
        <v/>
      </c>
      <c r="W491" s="38" t="str">
        <f>IF(AND(B491&gt;='IN-NX'!$P$3,B491&lt;='IN-NX'!$Q$3,'IN-NX'!$D$7=D491,OR(LEFT(L491,2)="15",AND(LEFT(M491,2)&lt;&gt;"15",LEFT(M491,2)&lt;&gt;"33"))),"x","")</f>
        <v/>
      </c>
      <c r="X491" s="38" t="str">
        <f>IF(AND(OR(LEFT(TH!L491,2)="15",LEFT(TH!M491,2)="15"),'152-CT'!$J$8=TH!F491),"x","")</f>
        <v/>
      </c>
      <c r="Y491" s="38" t="str">
        <f>IF(AND(OR(LEFT(TH!L491,2)="15",LEFT(TH!M491,2)="15"),TK!$E$7=TH!F491),"x","")</f>
        <v/>
      </c>
      <c r="Z491" s="38" t="str">
        <f>IF(AND(B491&lt;=NKC!$N$8,B491&gt;=NKC!$M$8),"x","")</f>
        <v/>
      </c>
      <c r="AA491" s="845"/>
      <c r="AB491" s="581"/>
    </row>
    <row r="492" spans="1:28" s="201" customFormat="1" ht="15.75" customHeight="1">
      <c r="A492" s="846" t="str">
        <f>IF(B492&lt;&gt;"",IF(AND(B492&gt;=_TM1,B492&lt;=_TM2,OR(TH!L492="1111",TH!M492="1111")),TH!D492,""),"")</f>
        <v/>
      </c>
      <c r="B492" s="36" t="str">
        <f t="shared" si="13"/>
        <v/>
      </c>
      <c r="C492" s="187"/>
      <c r="D492" s="187"/>
      <c r="E492" s="187"/>
      <c r="F492" s="188"/>
      <c r="G492" s="854"/>
      <c r="H492" s="189"/>
      <c r="I492" s="249"/>
      <c r="J492" s="249"/>
      <c r="K492" s="589"/>
      <c r="L492" s="590"/>
      <c r="M492" s="590"/>
      <c r="N492" s="38" t="str">
        <f>IF(AND('331-CT'!$E$7=TH!H492,OR(L492="331",M492="331")),"331",IF(AND(OR(L492="131",M492="131"),H492='131-CT'!$E$7),"131",""))</f>
        <v/>
      </c>
      <c r="O492" s="38" t="str">
        <f>IF(AND($B492&gt;='111'!$N$11,$B492&lt;='111'!$O$11,OR($L492=$O$7,$M492=$O$7)),"x","")</f>
        <v/>
      </c>
      <c r="P492" s="38" t="str">
        <f>IF(AND($L492=$O$7,$B492&lt;'111'!$N$11),"x","")</f>
        <v/>
      </c>
      <c r="Q492" s="38" t="str">
        <f>IF(AND($M492=$O$7,$B492&lt;'111'!$N$11),"x","")</f>
        <v/>
      </c>
      <c r="R492" s="38" t="str">
        <f>IF(ISERROR(FIND('112'!$M$9,G492,1)),"",IF((AND(FIND('112'!$M$9,G492,1)&gt;=1,$B492&gt;='112'!$N$8,$B492&lt;='112'!$O$8,OR($L492='112'!$I$6,$M492='112'!$I$6))),"x",""))</f>
        <v/>
      </c>
      <c r="S492" s="38" t="str">
        <f>IF(ISERROR(FIND('112'!$M$9,G492,1)),"",IF((AND(LEFT(G492,2)=LEFT('112'!$M$9,2),B492&lt;'112'!$N$8,$L492='112'!$I$6)),"x",""))</f>
        <v/>
      </c>
      <c r="T492" s="38" t="str">
        <f>IF(ISERROR(FIND('112'!$M$9,G492,1)),"",IF((AND(RIGHT(G492,2)=RIGHT('112'!$M$9,2),B492&lt;'112'!$N$8,$M492='112'!$I$6)),"x",""))</f>
        <v/>
      </c>
      <c r="U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38" t="str">
        <f>IF(OR(TH!L492=TH!$V$7,M492=TH!$V$7),"x","")</f>
        <v/>
      </c>
      <c r="W492" s="38" t="str">
        <f>IF(AND(B492&gt;='IN-NX'!$P$3,B492&lt;='IN-NX'!$Q$3,'IN-NX'!$D$7=D492,OR(LEFT(L492,2)="15",AND(LEFT(M492,2)&lt;&gt;"15",LEFT(M492,2)&lt;&gt;"33"))),"x","")</f>
        <v/>
      </c>
      <c r="X492" s="38" t="str">
        <f>IF(AND(OR(LEFT(TH!L492,2)="15",LEFT(TH!M492,2)="15"),'152-CT'!$J$8=TH!F492),"x","")</f>
        <v/>
      </c>
      <c r="Y492" s="38" t="str">
        <f>IF(AND(OR(LEFT(TH!L492,2)="15",LEFT(TH!M492,2)="15"),TK!$E$7=TH!F492),"x","")</f>
        <v/>
      </c>
      <c r="Z492" s="38" t="str">
        <f>IF(AND(B492&lt;=NKC!$N$8,B492&gt;=NKC!$M$8),"x","")</f>
        <v/>
      </c>
      <c r="AA492" s="845"/>
      <c r="AB492" s="581"/>
    </row>
    <row r="493" spans="1:28" s="201" customFormat="1" ht="15.75" customHeight="1">
      <c r="A493" s="846" t="str">
        <f>IF(B493&lt;&gt;"",IF(AND(B493&gt;=_TM1,B493&lt;=_TM2,OR(TH!L493="1111",TH!M493="1111")),TH!D493,""),"")</f>
        <v/>
      </c>
      <c r="B493" s="36" t="str">
        <f t="shared" si="13"/>
        <v/>
      </c>
      <c r="C493" s="187"/>
      <c r="D493" s="187"/>
      <c r="E493" s="187"/>
      <c r="F493" s="188"/>
      <c r="G493" s="854"/>
      <c r="H493" s="189"/>
      <c r="I493" s="249"/>
      <c r="J493" s="249"/>
      <c r="K493" s="589"/>
      <c r="L493" s="590"/>
      <c r="M493" s="590"/>
      <c r="N493" s="38" t="str">
        <f>IF(AND('331-CT'!$E$7=TH!H493,OR(L493="331",M493="331")),"331",IF(AND(OR(L493="131",M493="131"),H493='131-CT'!$E$7),"131",""))</f>
        <v/>
      </c>
      <c r="O493" s="38" t="str">
        <f>IF(AND($B493&gt;='111'!$N$11,$B493&lt;='111'!$O$11,OR($L493=$O$7,$M493=$O$7)),"x","")</f>
        <v/>
      </c>
      <c r="P493" s="38" t="str">
        <f>IF(AND($L493=$O$7,$B493&lt;'111'!$N$11),"x","")</f>
        <v/>
      </c>
      <c r="Q493" s="38" t="str">
        <f>IF(AND($M493=$O$7,$B493&lt;'111'!$N$11),"x","")</f>
        <v/>
      </c>
      <c r="R493" s="38" t="str">
        <f>IF(ISERROR(FIND('112'!$M$9,G493,1)),"",IF((AND(FIND('112'!$M$9,G493,1)&gt;=1,$B493&gt;='112'!$N$8,$B493&lt;='112'!$O$8,OR($L493='112'!$I$6,$M493='112'!$I$6))),"x",""))</f>
        <v/>
      </c>
      <c r="S493" s="38" t="str">
        <f>IF(ISERROR(FIND('112'!$M$9,G493,1)),"",IF((AND(LEFT(G493,2)=LEFT('112'!$M$9,2),B493&lt;'112'!$N$8,$L493='112'!$I$6)),"x",""))</f>
        <v/>
      </c>
      <c r="T493" s="38" t="str">
        <f>IF(ISERROR(FIND('112'!$M$9,G493,1)),"",IF((AND(RIGHT(G493,2)=RIGHT('112'!$M$9,2),B493&lt;'112'!$N$8,$M493='112'!$I$6)),"x",""))</f>
        <v/>
      </c>
      <c r="U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38" t="str">
        <f>IF(OR(TH!L493=TH!$V$7,M493=TH!$V$7),"x","")</f>
        <v/>
      </c>
      <c r="W493" s="38" t="str">
        <f>IF(AND(B493&gt;='IN-NX'!$P$3,B493&lt;='IN-NX'!$Q$3,'IN-NX'!$D$7=D493,OR(LEFT(L493,2)="15",AND(LEFT(M493,2)&lt;&gt;"15",LEFT(M493,2)&lt;&gt;"33"))),"x","")</f>
        <v/>
      </c>
      <c r="X493" s="38" t="str">
        <f>IF(AND(OR(LEFT(TH!L493,2)="15",LEFT(TH!M493,2)="15"),'152-CT'!$J$8=TH!F493),"x","")</f>
        <v/>
      </c>
      <c r="Y493" s="38" t="str">
        <f>IF(AND(OR(LEFT(TH!L493,2)="15",LEFT(TH!M493,2)="15"),TK!$E$7=TH!F493),"x","")</f>
        <v/>
      </c>
      <c r="Z493" s="38" t="str">
        <f>IF(AND(B493&lt;=NKC!$N$8,B493&gt;=NKC!$M$8),"x","")</f>
        <v/>
      </c>
      <c r="AA493" s="845"/>
      <c r="AB493" s="581"/>
    </row>
    <row r="494" spans="1:28" s="201" customFormat="1" ht="15.75" customHeight="1">
      <c r="A494" s="846" t="str">
        <f>IF(B494&lt;&gt;"",IF(AND(B494&gt;=_TM1,B494&lt;=_TM2,OR(TH!L494="1111",TH!M494="1111")),TH!D494,""),"")</f>
        <v/>
      </c>
      <c r="B494" s="36" t="str">
        <f t="shared" si="13"/>
        <v/>
      </c>
      <c r="C494" s="187"/>
      <c r="D494" s="187"/>
      <c r="E494" s="187"/>
      <c r="F494" s="188"/>
      <c r="G494" s="854"/>
      <c r="H494" s="189"/>
      <c r="I494" s="249"/>
      <c r="J494" s="249"/>
      <c r="K494" s="589"/>
      <c r="L494" s="590"/>
      <c r="M494" s="590"/>
      <c r="N494" s="38" t="str">
        <f>IF(AND('331-CT'!$E$7=TH!H494,OR(L494="331",M494="331")),"331",IF(AND(OR(L494="131",M494="131"),H494='131-CT'!$E$7),"131",""))</f>
        <v/>
      </c>
      <c r="O494" s="38" t="str">
        <f>IF(AND($B494&gt;='111'!$N$11,$B494&lt;='111'!$O$11,OR($L494=$O$7,$M494=$O$7)),"x","")</f>
        <v/>
      </c>
      <c r="P494" s="38" t="str">
        <f>IF(AND($L494=$O$7,$B494&lt;'111'!$N$11),"x","")</f>
        <v/>
      </c>
      <c r="Q494" s="38" t="str">
        <f>IF(AND($M494=$O$7,$B494&lt;'111'!$N$11),"x","")</f>
        <v/>
      </c>
      <c r="R494" s="38" t="str">
        <f>IF(ISERROR(FIND('112'!$M$9,G494,1)),"",IF((AND(FIND('112'!$M$9,G494,1)&gt;=1,$B494&gt;='112'!$N$8,$B494&lt;='112'!$O$8,OR($L494='112'!$I$6,$M494='112'!$I$6))),"x",""))</f>
        <v/>
      </c>
      <c r="S494" s="38" t="str">
        <f>IF(ISERROR(FIND('112'!$M$9,G494,1)),"",IF((AND(LEFT(G494,2)=LEFT('112'!$M$9,2),B494&lt;'112'!$N$8,$L494='112'!$I$6)),"x",""))</f>
        <v/>
      </c>
      <c r="T494" s="38" t="str">
        <f>IF(ISERROR(FIND('112'!$M$9,G494,1)),"",IF((AND(RIGHT(G494,2)=RIGHT('112'!$M$9,2),B494&lt;'112'!$N$8,$M494='112'!$I$6)),"x",""))</f>
        <v/>
      </c>
      <c r="U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38" t="str">
        <f>IF(OR(TH!L494=TH!$V$7,M494=TH!$V$7),"x","")</f>
        <v/>
      </c>
      <c r="W494" s="38" t="str">
        <f>IF(AND(B494&gt;='IN-NX'!$P$3,B494&lt;='IN-NX'!$Q$3,'IN-NX'!$D$7=D494,OR(LEFT(L494,2)="15",AND(LEFT(M494,2)&lt;&gt;"15",LEFT(M494,2)&lt;&gt;"33"))),"x","")</f>
        <v/>
      </c>
      <c r="X494" s="38" t="str">
        <f>IF(AND(OR(LEFT(TH!L494,2)="15",LEFT(TH!M494,2)="15"),'152-CT'!$J$8=TH!F494),"x","")</f>
        <v/>
      </c>
      <c r="Y494" s="38" t="str">
        <f>IF(AND(OR(LEFT(TH!L494,2)="15",LEFT(TH!M494,2)="15"),TK!$E$7=TH!F494),"x","")</f>
        <v/>
      </c>
      <c r="Z494" s="38" t="str">
        <f>IF(AND(B494&lt;=NKC!$N$8,B494&gt;=NKC!$M$8),"x","")</f>
        <v/>
      </c>
      <c r="AA494" s="845"/>
      <c r="AB494" s="581"/>
    </row>
    <row r="495" spans="1:28" s="201" customFormat="1" ht="15.75" customHeight="1">
      <c r="A495" s="846" t="str">
        <f>IF(B495&lt;&gt;"",IF(AND(B495&gt;=_TM1,B495&lt;=_TM2,OR(TH!L495="1111",TH!M495="1111")),TH!D495,""),"")</f>
        <v/>
      </c>
      <c r="B495" s="36" t="str">
        <f t="shared" si="13"/>
        <v/>
      </c>
      <c r="C495" s="187"/>
      <c r="D495" s="187"/>
      <c r="E495" s="187"/>
      <c r="F495" s="188"/>
      <c r="G495" s="854"/>
      <c r="H495" s="189"/>
      <c r="I495" s="249"/>
      <c r="J495" s="249"/>
      <c r="K495" s="589"/>
      <c r="L495" s="590"/>
      <c r="M495" s="590"/>
      <c r="N495" s="38" t="str">
        <f>IF(AND('331-CT'!$E$7=TH!H495,OR(L495="331",M495="331")),"331",IF(AND(OR(L495="131",M495="131"),H495='131-CT'!$E$7),"131",""))</f>
        <v/>
      </c>
      <c r="O495" s="38" t="str">
        <f>IF(AND($B495&gt;='111'!$N$11,$B495&lt;='111'!$O$11,OR($L495=$O$7,$M495=$O$7)),"x","")</f>
        <v/>
      </c>
      <c r="P495" s="38" t="str">
        <f>IF(AND($L495=$O$7,$B495&lt;'111'!$N$11),"x","")</f>
        <v/>
      </c>
      <c r="Q495" s="38" t="str">
        <f>IF(AND($M495=$O$7,$B495&lt;'111'!$N$11),"x","")</f>
        <v/>
      </c>
      <c r="R495" s="38" t="str">
        <f>IF(ISERROR(FIND('112'!$M$9,G495,1)),"",IF((AND(FIND('112'!$M$9,G495,1)&gt;=1,$B495&gt;='112'!$N$8,$B495&lt;='112'!$O$8,OR($L495='112'!$I$6,$M495='112'!$I$6))),"x",""))</f>
        <v/>
      </c>
      <c r="S495" s="38" t="str">
        <f>IF(ISERROR(FIND('112'!$M$9,G495,1)),"",IF((AND(LEFT(G495,2)=LEFT('112'!$M$9,2),B495&lt;'112'!$N$8,$L495='112'!$I$6)),"x",""))</f>
        <v/>
      </c>
      <c r="T495" s="38" t="str">
        <f>IF(ISERROR(FIND('112'!$M$9,G495,1)),"",IF((AND(RIGHT(G495,2)=RIGHT('112'!$M$9,2),B495&lt;'112'!$N$8,$M495='112'!$I$6)),"x",""))</f>
        <v/>
      </c>
      <c r="U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38" t="str">
        <f>IF(OR(TH!L495=TH!$V$7,M495=TH!$V$7),"x","")</f>
        <v/>
      </c>
      <c r="W495" s="38" t="str">
        <f>IF(AND(B495&gt;='IN-NX'!$P$3,B495&lt;='IN-NX'!$Q$3,'IN-NX'!$D$7=D495,OR(LEFT(L495,2)="15",AND(LEFT(M495,2)&lt;&gt;"15",LEFT(M495,2)&lt;&gt;"33"))),"x","")</f>
        <v/>
      </c>
      <c r="X495" s="38" t="str">
        <f>IF(AND(OR(LEFT(TH!L495,2)="15",LEFT(TH!M495,2)="15"),'152-CT'!$J$8=TH!F495),"x","")</f>
        <v/>
      </c>
      <c r="Y495" s="38" t="str">
        <f>IF(AND(OR(LEFT(TH!L495,2)="15",LEFT(TH!M495,2)="15"),TK!$E$7=TH!F495),"x","")</f>
        <v/>
      </c>
      <c r="Z495" s="38" t="str">
        <f>IF(AND(B495&lt;=NKC!$N$8,B495&gt;=NKC!$M$8),"x","")</f>
        <v/>
      </c>
      <c r="AA495" s="845"/>
      <c r="AB495" s="581"/>
    </row>
    <row r="496" spans="1:28" s="201" customFormat="1" ht="15.75" customHeight="1">
      <c r="A496" s="846" t="str">
        <f>IF(B496&lt;&gt;"",IF(AND(B496&gt;=_TM1,B496&lt;=_TM2,OR(TH!L496="1111",TH!M496="1111")),TH!D496,""),"")</f>
        <v/>
      </c>
      <c r="B496" s="36" t="str">
        <f t="shared" si="13"/>
        <v/>
      </c>
      <c r="C496" s="187"/>
      <c r="D496" s="187"/>
      <c r="E496" s="187"/>
      <c r="F496" s="185"/>
      <c r="G496" s="854"/>
      <c r="H496" s="189"/>
      <c r="I496" s="249"/>
      <c r="J496" s="249"/>
      <c r="K496" s="589"/>
      <c r="L496" s="590"/>
      <c r="M496" s="590"/>
      <c r="N496" s="38" t="str">
        <f>IF(AND('331-CT'!$E$7=TH!H496,OR(L496="331",M496="331")),"331",IF(AND(OR(L496="131",M496="131"),H496='131-CT'!$E$7),"131",""))</f>
        <v/>
      </c>
      <c r="O496" s="38" t="str">
        <f>IF(AND($B496&gt;='111'!$N$11,$B496&lt;='111'!$O$11,OR($L496=$O$7,$M496=$O$7)),"x","")</f>
        <v/>
      </c>
      <c r="P496" s="38" t="str">
        <f>IF(AND($L496=$O$7,$B496&lt;'111'!$N$11),"x","")</f>
        <v/>
      </c>
      <c r="Q496" s="38" t="str">
        <f>IF(AND($M496=$O$7,$B496&lt;'111'!$N$11),"x","")</f>
        <v/>
      </c>
      <c r="R496" s="38" t="str">
        <f>IF(ISERROR(FIND('112'!$M$9,G496,1)),"",IF((AND(FIND('112'!$M$9,G496,1)&gt;=1,$B496&gt;='112'!$N$8,$B496&lt;='112'!$O$8,OR($L496='112'!$I$6,$M496='112'!$I$6))),"x",""))</f>
        <v/>
      </c>
      <c r="S496" s="38" t="str">
        <f>IF(ISERROR(FIND('112'!$M$9,G496,1)),"",IF((AND(LEFT(G496,2)=LEFT('112'!$M$9,2),B496&lt;'112'!$N$8,$L496='112'!$I$6)),"x",""))</f>
        <v/>
      </c>
      <c r="T496" s="38" t="str">
        <f>IF(ISERROR(FIND('112'!$M$9,G496,1)),"",IF((AND(RIGHT(G496,2)=RIGHT('112'!$M$9,2),B496&lt;'112'!$N$8,$M496='112'!$I$6)),"x",""))</f>
        <v/>
      </c>
      <c r="U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38" t="str">
        <f>IF(OR(TH!L496=TH!$V$7,M496=TH!$V$7),"x","")</f>
        <v/>
      </c>
      <c r="W496" s="38" t="str">
        <f>IF(AND(B496&gt;='IN-NX'!$P$3,B496&lt;='IN-NX'!$Q$3,'IN-NX'!$D$7=D496,OR(LEFT(L496,2)="15",AND(LEFT(M496,2)&lt;&gt;"15",LEFT(M496,2)&lt;&gt;"33"))),"x","")</f>
        <v/>
      </c>
      <c r="X496" s="38" t="str">
        <f>IF(AND(OR(LEFT(TH!L496,2)="15",LEFT(TH!M496,2)="15"),'152-CT'!$J$8=TH!F496),"x","")</f>
        <v/>
      </c>
      <c r="Y496" s="38" t="str">
        <f>IF(AND(OR(LEFT(TH!L496,2)="15",LEFT(TH!M496,2)="15"),TK!$E$7=TH!F496),"x","")</f>
        <v/>
      </c>
      <c r="Z496" s="38" t="str">
        <f>IF(AND(B496&lt;=NKC!$N$8,B496&gt;=NKC!$M$8),"x","")</f>
        <v/>
      </c>
      <c r="AA496" s="845"/>
      <c r="AB496" s="581"/>
    </row>
    <row r="497" spans="1:28" s="201" customFormat="1" ht="15.75" customHeight="1">
      <c r="A497" s="846" t="str">
        <f>IF(B497&lt;&gt;"",IF(AND(B497&gt;=_TM1,B497&lt;=_TM2,OR(TH!L497="1111",TH!M497="1111")),TH!D497,""),"")</f>
        <v/>
      </c>
      <c r="B497" s="36" t="str">
        <f t="shared" si="13"/>
        <v/>
      </c>
      <c r="C497" s="187"/>
      <c r="D497" s="187"/>
      <c r="E497" s="187"/>
      <c r="F497" s="188"/>
      <c r="G497" s="854"/>
      <c r="H497" s="189"/>
      <c r="I497" s="249"/>
      <c r="J497" s="249"/>
      <c r="K497" s="589"/>
      <c r="L497" s="590"/>
      <c r="M497" s="590"/>
      <c r="N497" s="38" t="str">
        <f>IF(AND('331-CT'!$E$7=TH!H497,OR(L497="331",M497="331")),"331",IF(AND(OR(L497="131",M497="131"),H497='131-CT'!$E$7),"131",""))</f>
        <v/>
      </c>
      <c r="O497" s="38" t="str">
        <f>IF(AND($B497&gt;='111'!$N$11,$B497&lt;='111'!$O$11,OR($L497=$O$7,$M497=$O$7)),"x","")</f>
        <v/>
      </c>
      <c r="P497" s="38" t="str">
        <f>IF(AND($L497=$O$7,$B497&lt;'111'!$N$11),"x","")</f>
        <v/>
      </c>
      <c r="Q497" s="38" t="str">
        <f>IF(AND($M497=$O$7,$B497&lt;'111'!$N$11),"x","")</f>
        <v/>
      </c>
      <c r="R497" s="38" t="str">
        <f>IF(ISERROR(FIND('112'!$M$9,G497,1)),"",IF((AND(FIND('112'!$M$9,G497,1)&gt;=1,$B497&gt;='112'!$N$8,$B497&lt;='112'!$O$8,OR($L497='112'!$I$6,$M497='112'!$I$6))),"x",""))</f>
        <v/>
      </c>
      <c r="S497" s="38" t="str">
        <f>IF(ISERROR(FIND('112'!$M$9,G497,1)),"",IF((AND(LEFT(G497,2)=LEFT('112'!$M$9,2),B497&lt;'112'!$N$8,$L497='112'!$I$6)),"x",""))</f>
        <v/>
      </c>
      <c r="T497" s="38" t="str">
        <f>IF(ISERROR(FIND('112'!$M$9,G497,1)),"",IF((AND(RIGHT(G497,2)=RIGHT('112'!$M$9,2),B497&lt;'112'!$N$8,$M497='112'!$I$6)),"x",""))</f>
        <v/>
      </c>
      <c r="U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38" t="str">
        <f>IF(OR(TH!L497=TH!$V$7,M497=TH!$V$7),"x","")</f>
        <v/>
      </c>
      <c r="W497" s="38" t="str">
        <f>IF(AND(B497&gt;='IN-NX'!$P$3,B497&lt;='IN-NX'!$Q$3,'IN-NX'!$D$7=D497,OR(LEFT(L497,2)="15",AND(LEFT(M497,2)&lt;&gt;"15",LEFT(M497,2)&lt;&gt;"33"))),"x","")</f>
        <v/>
      </c>
      <c r="X497" s="38" t="str">
        <f>IF(AND(OR(LEFT(TH!L497,2)="15",LEFT(TH!M497,2)="15"),'152-CT'!$J$8=TH!F497),"x","")</f>
        <v/>
      </c>
      <c r="Y497" s="38" t="str">
        <f>IF(AND(OR(LEFT(TH!L497,2)="15",LEFT(TH!M497,2)="15"),TK!$E$7=TH!F497),"x","")</f>
        <v/>
      </c>
      <c r="Z497" s="38" t="str">
        <f>IF(AND(B497&lt;=NKC!$N$8,B497&gt;=NKC!$M$8),"x","")</f>
        <v/>
      </c>
      <c r="AA497" s="845"/>
      <c r="AB497" s="581"/>
    </row>
    <row r="498" spans="1:28" s="201" customFormat="1" ht="15.75" customHeight="1">
      <c r="A498" s="846" t="str">
        <f>IF(B498&lt;&gt;"",IF(AND(B498&gt;=_TM1,B498&lt;=_TM2,OR(TH!L498="1111",TH!M498="1111")),TH!D498,""),"")</f>
        <v/>
      </c>
      <c r="B498" s="36" t="str">
        <f t="shared" si="13"/>
        <v/>
      </c>
      <c r="C498" s="187"/>
      <c r="D498" s="187"/>
      <c r="E498" s="187"/>
      <c r="F498" s="188"/>
      <c r="G498" s="854"/>
      <c r="H498" s="189"/>
      <c r="I498" s="249"/>
      <c r="J498" s="249"/>
      <c r="K498" s="589"/>
      <c r="L498" s="590"/>
      <c r="M498" s="590"/>
      <c r="N498" s="38" t="str">
        <f>IF(AND('331-CT'!$E$7=TH!H498,OR(L498="331",M498="331")),"331",IF(AND(OR(L498="131",M498="131"),H498='131-CT'!$E$7),"131",""))</f>
        <v/>
      </c>
      <c r="O498" s="38" t="str">
        <f>IF(AND($B498&gt;='111'!$N$11,$B498&lt;='111'!$O$11,OR($L498=$O$7,$M498=$O$7)),"x","")</f>
        <v/>
      </c>
      <c r="P498" s="38" t="str">
        <f>IF(AND($L498=$O$7,$B498&lt;'111'!$N$11),"x","")</f>
        <v/>
      </c>
      <c r="Q498" s="38" t="str">
        <f>IF(AND($M498=$O$7,$B498&lt;'111'!$N$11),"x","")</f>
        <v/>
      </c>
      <c r="R498" s="38" t="str">
        <f>IF(ISERROR(FIND('112'!$M$9,G498,1)),"",IF((AND(FIND('112'!$M$9,G498,1)&gt;=1,$B498&gt;='112'!$N$8,$B498&lt;='112'!$O$8,OR($L498='112'!$I$6,$M498='112'!$I$6))),"x",""))</f>
        <v/>
      </c>
      <c r="S498" s="38" t="str">
        <f>IF(ISERROR(FIND('112'!$M$9,G498,1)),"",IF((AND(LEFT(G498,2)=LEFT('112'!$M$9,2),B498&lt;'112'!$N$8,$L498='112'!$I$6)),"x",""))</f>
        <v/>
      </c>
      <c r="T498" s="38" t="str">
        <f>IF(ISERROR(FIND('112'!$M$9,G498,1)),"",IF((AND(RIGHT(G498,2)=RIGHT('112'!$M$9,2),B498&lt;'112'!$N$8,$M498='112'!$I$6)),"x",""))</f>
        <v/>
      </c>
      <c r="U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38" t="str">
        <f>IF(OR(TH!L498=TH!$V$7,M498=TH!$V$7),"x","")</f>
        <v/>
      </c>
      <c r="W498" s="38" t="str">
        <f>IF(AND(B498&gt;='IN-NX'!$P$3,B498&lt;='IN-NX'!$Q$3,'IN-NX'!$D$7=D498,OR(LEFT(L498,2)="15",AND(LEFT(M498,2)&lt;&gt;"15",LEFT(M498,2)&lt;&gt;"33"))),"x","")</f>
        <v/>
      </c>
      <c r="X498" s="38" t="str">
        <f>IF(AND(OR(LEFT(TH!L498,2)="15",LEFT(TH!M498,2)="15"),'152-CT'!$J$8=TH!F498),"x","")</f>
        <v/>
      </c>
      <c r="Y498" s="38" t="str">
        <f>IF(AND(OR(LEFT(TH!L498,2)="15",LEFT(TH!M498,2)="15"),TK!$E$7=TH!F498),"x","")</f>
        <v/>
      </c>
      <c r="Z498" s="38" t="str">
        <f>IF(AND(B498&lt;=NKC!$N$8,B498&gt;=NKC!$M$8),"x","")</f>
        <v/>
      </c>
      <c r="AA498" s="845"/>
      <c r="AB498" s="581"/>
    </row>
    <row r="499" spans="1:28" s="201" customFormat="1" ht="15.75" customHeight="1">
      <c r="A499" s="846" t="str">
        <f>IF(B499&lt;&gt;"",IF(AND(B499&gt;=_TM1,B499&lt;=_TM2,OR(TH!L499="1111",TH!M499="1111")),TH!D499,""),"")</f>
        <v/>
      </c>
      <c r="B499" s="36" t="str">
        <f t="shared" si="13"/>
        <v/>
      </c>
      <c r="C499" s="187"/>
      <c r="D499" s="187"/>
      <c r="E499" s="187"/>
      <c r="F499" s="188"/>
      <c r="G499" s="854"/>
      <c r="H499" s="189"/>
      <c r="I499" s="249"/>
      <c r="J499" s="249"/>
      <c r="K499" s="589"/>
      <c r="L499" s="590"/>
      <c r="M499" s="590"/>
      <c r="N499" s="38" t="str">
        <f>IF(AND('331-CT'!$E$7=TH!H499,OR(L499="331",M499="331")),"331",IF(AND(OR(L499="131",M499="131"),H499='131-CT'!$E$7),"131",""))</f>
        <v/>
      </c>
      <c r="O499" s="38" t="str">
        <f>IF(AND($B499&gt;='111'!$N$11,$B499&lt;='111'!$O$11,OR($L499=$O$7,$M499=$O$7)),"x","")</f>
        <v/>
      </c>
      <c r="P499" s="38" t="str">
        <f>IF(AND($L499=$O$7,$B499&lt;'111'!$N$11),"x","")</f>
        <v/>
      </c>
      <c r="Q499" s="38" t="str">
        <f>IF(AND($M499=$O$7,$B499&lt;'111'!$N$11),"x","")</f>
        <v/>
      </c>
      <c r="R499" s="38" t="str">
        <f>IF(ISERROR(FIND('112'!$M$9,G499,1)),"",IF((AND(FIND('112'!$M$9,G499,1)&gt;=1,$B499&gt;='112'!$N$8,$B499&lt;='112'!$O$8,OR($L499='112'!$I$6,$M499='112'!$I$6))),"x",""))</f>
        <v/>
      </c>
      <c r="S499" s="38" t="str">
        <f>IF(ISERROR(FIND('112'!$M$9,G499,1)),"",IF((AND(LEFT(G499,2)=LEFT('112'!$M$9,2),B499&lt;'112'!$N$8,$L499='112'!$I$6)),"x",""))</f>
        <v/>
      </c>
      <c r="T499" s="38" t="str">
        <f>IF(ISERROR(FIND('112'!$M$9,G499,1)),"",IF((AND(RIGHT(G499,2)=RIGHT('112'!$M$9,2),B499&lt;'112'!$N$8,$M499='112'!$I$6)),"x",""))</f>
        <v/>
      </c>
      <c r="U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38" t="str">
        <f>IF(OR(TH!L499=TH!$V$7,M499=TH!$V$7),"x","")</f>
        <v/>
      </c>
      <c r="W499" s="38" t="str">
        <f>IF(AND(B499&gt;='IN-NX'!$P$3,B499&lt;='IN-NX'!$Q$3,'IN-NX'!$D$7=D499,OR(LEFT(L499,2)="15",AND(LEFT(M499,2)&lt;&gt;"15",LEFT(M499,2)&lt;&gt;"33"))),"x","")</f>
        <v/>
      </c>
      <c r="X499" s="38" t="str">
        <f>IF(AND(OR(LEFT(TH!L499,2)="15",LEFT(TH!M499,2)="15"),'152-CT'!$J$8=TH!F499),"x","")</f>
        <v/>
      </c>
      <c r="Y499" s="38" t="str">
        <f>IF(AND(OR(LEFT(TH!L499,2)="15",LEFT(TH!M499,2)="15"),TK!$E$7=TH!F499),"x","")</f>
        <v/>
      </c>
      <c r="Z499" s="38" t="str">
        <f>IF(AND(B499&lt;=NKC!$N$8,B499&gt;=NKC!$M$8),"x","")</f>
        <v/>
      </c>
      <c r="AA499" s="845"/>
      <c r="AB499" s="581"/>
    </row>
    <row r="500" spans="1:28" s="201" customFormat="1" ht="15.75" customHeight="1">
      <c r="A500" s="846" t="str">
        <f>IF(B500&lt;&gt;"",IF(AND(B500&gt;=_TM1,B500&lt;=_TM2,OR(TH!L500="1111",TH!M500="1111")),TH!D500,""),"")</f>
        <v/>
      </c>
      <c r="B500" s="36" t="str">
        <f t="shared" si="13"/>
        <v/>
      </c>
      <c r="C500" s="187"/>
      <c r="D500" s="187"/>
      <c r="E500" s="187"/>
      <c r="F500" s="39"/>
      <c r="G500" s="854"/>
      <c r="H500" s="189"/>
      <c r="I500" s="249"/>
      <c r="J500" s="249"/>
      <c r="K500" s="589"/>
      <c r="L500" s="590"/>
      <c r="M500" s="590"/>
      <c r="N500" s="38" t="str">
        <f>IF(AND('331-CT'!$E$7=TH!H500,OR(L500="331",M500="331")),"331",IF(AND(OR(L500="131",M500="131"),H500='131-CT'!$E$7),"131",""))</f>
        <v/>
      </c>
      <c r="O500" s="38" t="str">
        <f>IF(AND($B500&gt;='111'!$N$11,$B500&lt;='111'!$O$11,OR($L500=$O$7,$M500=$O$7)),"x","")</f>
        <v/>
      </c>
      <c r="P500" s="38" t="str">
        <f>IF(AND($L500=$O$7,$B500&lt;'111'!$N$11),"x","")</f>
        <v/>
      </c>
      <c r="Q500" s="38" t="str">
        <f>IF(AND($M500=$O$7,$B500&lt;'111'!$N$11),"x","")</f>
        <v/>
      </c>
      <c r="R500" s="38" t="str">
        <f>IF(ISERROR(FIND('112'!$M$9,G500,1)),"",IF((AND(FIND('112'!$M$9,G500,1)&gt;=1,$B500&gt;='112'!$N$8,$B500&lt;='112'!$O$8,OR($L500='112'!$I$6,$M500='112'!$I$6))),"x",""))</f>
        <v/>
      </c>
      <c r="S500" s="38" t="str">
        <f>IF(ISERROR(FIND('112'!$M$9,G500,1)),"",IF((AND(LEFT(G500,2)=LEFT('112'!$M$9,2),B500&lt;'112'!$N$8,$L500='112'!$I$6)),"x",""))</f>
        <v/>
      </c>
      <c r="T500" s="38" t="str">
        <f>IF(ISERROR(FIND('112'!$M$9,G500,1)),"",IF((AND(RIGHT(G500,2)=RIGHT('112'!$M$9,2),B500&lt;'112'!$N$8,$M500='112'!$I$6)),"x",""))</f>
        <v/>
      </c>
      <c r="U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38" t="str">
        <f>IF(OR(TH!L500=TH!$V$7,M500=TH!$V$7),"x","")</f>
        <v/>
      </c>
      <c r="W500" s="38" t="str">
        <f>IF(AND(B500&gt;='IN-NX'!$P$3,B500&lt;='IN-NX'!$Q$3,'IN-NX'!$D$7=D500,OR(LEFT(L500,2)="15",AND(LEFT(M500,2)&lt;&gt;"15",LEFT(M500,2)&lt;&gt;"33"))),"x","")</f>
        <v/>
      </c>
      <c r="X500" s="38" t="str">
        <f>IF(AND(OR(LEFT(TH!L500,2)="15",LEFT(TH!M500,2)="15"),'152-CT'!$J$8=TH!F500),"x","")</f>
        <v/>
      </c>
      <c r="Y500" s="38" t="str">
        <f>IF(AND(OR(LEFT(TH!L500,2)="15",LEFT(TH!M500,2)="15"),TK!$E$7=TH!F500),"x","")</f>
        <v/>
      </c>
      <c r="Z500" s="38" t="str">
        <f>IF(AND(B500&lt;=NKC!$N$8,B500&gt;=NKC!$M$8),"x","")</f>
        <v/>
      </c>
      <c r="AA500" s="845"/>
      <c r="AB500" s="581"/>
    </row>
    <row r="501" spans="1:28" s="201" customFormat="1" ht="15.75" customHeight="1">
      <c r="A501" s="846" t="str">
        <f>IF(B501&lt;&gt;"",IF(AND(B501&gt;=_TM1,B501&lt;=_TM2,OR(TH!L501="1111",TH!M501="1111")),TH!D501,""),"")</f>
        <v/>
      </c>
      <c r="B501" s="36" t="str">
        <f t="shared" si="13"/>
        <v/>
      </c>
      <c r="C501" s="187"/>
      <c r="D501" s="187"/>
      <c r="E501" s="187"/>
      <c r="F501" s="39"/>
      <c r="G501" s="854"/>
      <c r="H501" s="189"/>
      <c r="I501" s="794"/>
      <c r="J501" s="249"/>
      <c r="K501" s="589"/>
      <c r="L501" s="590"/>
      <c r="M501" s="590"/>
      <c r="N501" s="38" t="str">
        <f>IF(AND('331-CT'!$E$7=TH!H501,OR(L501="331",M501="331")),"331",IF(AND(OR(L501="131",M501="131"),H501='131-CT'!$E$7),"131",""))</f>
        <v/>
      </c>
      <c r="O501" s="38" t="str">
        <f>IF(AND($B501&gt;='111'!$N$11,$B501&lt;='111'!$O$11,OR($L501=$O$7,$M501=$O$7)),"x","")</f>
        <v/>
      </c>
      <c r="P501" s="38" t="str">
        <f>IF(AND($L501=$O$7,$B501&lt;'111'!$N$11),"x","")</f>
        <v/>
      </c>
      <c r="Q501" s="38" t="str">
        <f>IF(AND($M501=$O$7,$B501&lt;'111'!$N$11),"x","")</f>
        <v/>
      </c>
      <c r="R501" s="38" t="str">
        <f>IF(ISERROR(FIND('112'!$M$9,G501,1)),"",IF((AND(FIND('112'!$M$9,G501,1)&gt;=1,$B501&gt;='112'!$N$8,$B501&lt;='112'!$O$8,OR($L501='112'!$I$6,$M501='112'!$I$6))),"x",""))</f>
        <v/>
      </c>
      <c r="S501" s="38" t="str">
        <f>IF(ISERROR(FIND('112'!$M$9,G501,1)),"",IF((AND(LEFT(G501,2)=LEFT('112'!$M$9,2),B501&lt;'112'!$N$8,$L501='112'!$I$6)),"x",""))</f>
        <v/>
      </c>
      <c r="T501" s="38" t="str">
        <f>IF(ISERROR(FIND('112'!$M$9,G501,1)),"",IF((AND(RIGHT(G501,2)=RIGHT('112'!$M$9,2),B501&lt;'112'!$N$8,$M501='112'!$I$6)),"x",""))</f>
        <v/>
      </c>
      <c r="U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38" t="str">
        <f>IF(OR(TH!L501=TH!$V$7,M501=TH!$V$7),"x","")</f>
        <v/>
      </c>
      <c r="W501" s="38" t="str">
        <f>IF(AND(B501&gt;='IN-NX'!$P$3,B501&lt;='IN-NX'!$Q$3,'IN-NX'!$D$7=D501,OR(LEFT(L501,2)="15",AND(LEFT(M501,2)&lt;&gt;"15",LEFT(M501,2)&lt;&gt;"33"))),"x","")</f>
        <v/>
      </c>
      <c r="X501" s="38" t="str">
        <f>IF(AND(OR(LEFT(TH!L501,2)="15",LEFT(TH!M501,2)="15"),'152-CT'!$J$8=TH!F501),"x","")</f>
        <v/>
      </c>
      <c r="Y501" s="38" t="str">
        <f>IF(AND(OR(LEFT(TH!L501,2)="15",LEFT(TH!M501,2)="15"),TK!$E$7=TH!F501),"x","")</f>
        <v/>
      </c>
      <c r="Z501" s="38" t="str">
        <f>IF(AND(B501&lt;=NKC!$N$8,B501&gt;=NKC!$M$8),"x","")</f>
        <v/>
      </c>
      <c r="AA501" s="845"/>
      <c r="AB501" s="581"/>
    </row>
    <row r="502" spans="1:28" s="201" customFormat="1" ht="15.75" customHeight="1">
      <c r="A502" s="846" t="str">
        <f>IF(B502&lt;&gt;"",IF(AND(B502&gt;=_TM1,B502&lt;=_TM2,OR(TH!L502="1111",TH!M502="1111")),TH!D502,""),"")</f>
        <v/>
      </c>
      <c r="B502" s="36" t="str">
        <f t="shared" si="13"/>
        <v/>
      </c>
      <c r="C502" s="187"/>
      <c r="D502" s="187"/>
      <c r="E502" s="187"/>
      <c r="F502" s="39"/>
      <c r="G502" s="854"/>
      <c r="H502" s="189"/>
      <c r="I502" s="249"/>
      <c r="J502" s="249"/>
      <c r="K502" s="589"/>
      <c r="L502" s="590"/>
      <c r="M502" s="590"/>
      <c r="N502" s="38" t="str">
        <f>IF(AND('331-CT'!$E$7=TH!H502,OR(L502="331",M502="331")),"331",IF(AND(OR(L502="131",M502="131"),H502='131-CT'!$E$7),"131",""))</f>
        <v/>
      </c>
      <c r="O502" s="38" t="str">
        <f>IF(AND($B502&gt;='111'!$N$11,$B502&lt;='111'!$O$11,OR($L502=$O$7,$M502=$O$7)),"x","")</f>
        <v/>
      </c>
      <c r="P502" s="38" t="str">
        <f>IF(AND($L502=$O$7,$B502&lt;'111'!$N$11),"x","")</f>
        <v/>
      </c>
      <c r="Q502" s="38" t="str">
        <f>IF(AND($M502=$O$7,$B502&lt;'111'!$N$11),"x","")</f>
        <v/>
      </c>
      <c r="R502" s="38" t="str">
        <f>IF(ISERROR(FIND('112'!$M$9,G502,1)),"",IF((AND(FIND('112'!$M$9,G502,1)&gt;=1,$B502&gt;='112'!$N$8,$B502&lt;='112'!$O$8,OR($L502='112'!$I$6,$M502='112'!$I$6))),"x",""))</f>
        <v/>
      </c>
      <c r="S502" s="38" t="str">
        <f>IF(ISERROR(FIND('112'!$M$9,G502,1)),"",IF((AND(LEFT(G502,2)=LEFT('112'!$M$9,2),B502&lt;'112'!$N$8,$L502='112'!$I$6)),"x",""))</f>
        <v/>
      </c>
      <c r="T502" s="38" t="str">
        <f>IF(ISERROR(FIND('112'!$M$9,G502,1)),"",IF((AND(RIGHT(G502,2)=RIGHT('112'!$M$9,2),B502&lt;'112'!$N$8,$M502='112'!$I$6)),"x",""))</f>
        <v/>
      </c>
      <c r="U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38" t="str">
        <f>IF(OR(TH!L502=TH!$V$7,M502=TH!$V$7),"x","")</f>
        <v/>
      </c>
      <c r="W502" s="38" t="str">
        <f>IF(AND(B502&gt;='IN-NX'!$P$3,B502&lt;='IN-NX'!$Q$3,'IN-NX'!$D$7=D502,OR(LEFT(L502,2)="15",AND(LEFT(M502,2)&lt;&gt;"15",LEFT(M502,2)&lt;&gt;"33"))),"x","")</f>
        <v/>
      </c>
      <c r="X502" s="38" t="str">
        <f>IF(AND(OR(LEFT(TH!L502,2)="15",LEFT(TH!M502,2)="15"),'152-CT'!$J$8=TH!F502),"x","")</f>
        <v/>
      </c>
      <c r="Y502" s="38" t="str">
        <f>IF(AND(OR(LEFT(TH!L502,2)="15",LEFT(TH!M502,2)="15"),TK!$E$7=TH!F502),"x","")</f>
        <v/>
      </c>
      <c r="Z502" s="38" t="str">
        <f>IF(AND(B502&lt;=NKC!$N$8,B502&gt;=NKC!$M$8),"x","")</f>
        <v/>
      </c>
      <c r="AA502" s="845"/>
      <c r="AB502" s="581"/>
    </row>
    <row r="503" spans="1:28" s="201" customFormat="1" ht="15.75" customHeight="1">
      <c r="A503" s="846" t="str">
        <f>IF(B503&lt;&gt;"",IF(AND(B503&gt;=_TM1,B503&lt;=_TM2,OR(TH!L503="1111",TH!M503="1111")),TH!D503,""),"")</f>
        <v/>
      </c>
      <c r="B503" s="36" t="str">
        <f t="shared" si="13"/>
        <v/>
      </c>
      <c r="C503" s="187"/>
      <c r="D503" s="187"/>
      <c r="E503" s="187"/>
      <c r="F503" s="39"/>
      <c r="G503" s="854"/>
      <c r="H503" s="189"/>
      <c r="I503" s="249"/>
      <c r="J503" s="249"/>
      <c r="K503" s="589"/>
      <c r="L503" s="590"/>
      <c r="M503" s="590"/>
      <c r="N503" s="38" t="str">
        <f>IF(AND('331-CT'!$E$7=TH!H503,OR(L503="331",M503="331")),"331",IF(AND(OR(L503="131",M503="131"),H503='131-CT'!$E$7),"131",""))</f>
        <v/>
      </c>
      <c r="O503" s="38" t="str">
        <f>IF(AND($B503&gt;='111'!$N$11,$B503&lt;='111'!$O$11,OR($L503=$O$7,$M503=$O$7)),"x","")</f>
        <v/>
      </c>
      <c r="P503" s="38" t="str">
        <f>IF(AND($L503=$O$7,$B503&lt;'111'!$N$11),"x","")</f>
        <v/>
      </c>
      <c r="Q503" s="38" t="str">
        <f>IF(AND($M503=$O$7,$B503&lt;'111'!$N$11),"x","")</f>
        <v/>
      </c>
      <c r="R503" s="38" t="str">
        <f>IF(ISERROR(FIND('112'!$M$9,G503,1)),"",IF((AND(FIND('112'!$M$9,G503,1)&gt;=1,$B503&gt;='112'!$N$8,$B503&lt;='112'!$O$8,OR($L503='112'!$I$6,$M503='112'!$I$6))),"x",""))</f>
        <v/>
      </c>
      <c r="S503" s="38" t="str">
        <f>IF(ISERROR(FIND('112'!$M$9,G503,1)),"",IF((AND(LEFT(G503,2)=LEFT('112'!$M$9,2),B503&lt;'112'!$N$8,$L503='112'!$I$6)),"x",""))</f>
        <v/>
      </c>
      <c r="T503" s="38" t="str">
        <f>IF(ISERROR(FIND('112'!$M$9,G503,1)),"",IF((AND(RIGHT(G503,2)=RIGHT('112'!$M$9,2),B503&lt;'112'!$N$8,$M503='112'!$I$6)),"x",""))</f>
        <v/>
      </c>
      <c r="U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38" t="str">
        <f>IF(OR(TH!L503=TH!$V$7,M503=TH!$V$7),"x","")</f>
        <v/>
      </c>
      <c r="W503" s="38" t="str">
        <f>IF(AND(B503&gt;='IN-NX'!$P$3,B503&lt;='IN-NX'!$Q$3,'IN-NX'!$D$7=D503,OR(LEFT(L503,2)="15",AND(LEFT(M503,2)&lt;&gt;"15",LEFT(M503,2)&lt;&gt;"33"))),"x","")</f>
        <v/>
      </c>
      <c r="X503" s="38" t="str">
        <f>IF(AND(OR(LEFT(TH!L503,2)="15",LEFT(TH!M503,2)="15"),'152-CT'!$J$8=TH!F503),"x","")</f>
        <v/>
      </c>
      <c r="Y503" s="38" t="str">
        <f>IF(AND(OR(LEFT(TH!L503,2)="15",LEFT(TH!M503,2)="15"),TK!$E$7=TH!F503),"x","")</f>
        <v/>
      </c>
      <c r="Z503" s="38" t="str">
        <f>IF(AND(B503&lt;=NKC!$N$8,B503&gt;=NKC!$M$8),"x","")</f>
        <v/>
      </c>
      <c r="AA503" s="845"/>
      <c r="AB503" s="581"/>
    </row>
    <row r="504" spans="1:28" s="201" customFormat="1" ht="15.75" customHeight="1">
      <c r="A504" s="846" t="str">
        <f>IF(B504&lt;&gt;"",IF(AND(B504&gt;=_TM1,B504&lt;=_TM2,OR(TH!L504="1111",TH!M504="1111")),TH!D504,""),"")</f>
        <v/>
      </c>
      <c r="B504" s="36" t="str">
        <f t="shared" si="13"/>
        <v/>
      </c>
      <c r="C504" s="187"/>
      <c r="D504" s="187"/>
      <c r="E504" s="187"/>
      <c r="F504" s="39"/>
      <c r="G504" s="854"/>
      <c r="H504" s="189"/>
      <c r="I504" s="249"/>
      <c r="J504" s="249"/>
      <c r="K504" s="589"/>
      <c r="L504" s="590"/>
      <c r="M504" s="590"/>
      <c r="N504" s="38" t="str">
        <f>IF(AND('331-CT'!$E$7=TH!H504,OR(L504="331",M504="331")),"331",IF(AND(OR(L504="131",M504="131"),H504='131-CT'!$E$7),"131",""))</f>
        <v/>
      </c>
      <c r="O504" s="38" t="str">
        <f>IF(AND($B504&gt;='111'!$N$11,$B504&lt;='111'!$O$11,OR($L504=$O$7,$M504=$O$7)),"x","")</f>
        <v/>
      </c>
      <c r="P504" s="38" t="str">
        <f>IF(AND($L504=$O$7,$B504&lt;'111'!$N$11),"x","")</f>
        <v/>
      </c>
      <c r="Q504" s="38" t="str">
        <f>IF(AND($M504=$O$7,$B504&lt;'111'!$N$11),"x","")</f>
        <v/>
      </c>
      <c r="R504" s="38" t="str">
        <f>IF(ISERROR(FIND('112'!$M$9,G504,1)),"",IF((AND(FIND('112'!$M$9,G504,1)&gt;=1,$B504&gt;='112'!$N$8,$B504&lt;='112'!$O$8,OR($L504='112'!$I$6,$M504='112'!$I$6))),"x",""))</f>
        <v/>
      </c>
      <c r="S504" s="38" t="str">
        <f>IF(ISERROR(FIND('112'!$M$9,G504,1)),"",IF((AND(LEFT(G504,2)=LEFT('112'!$M$9,2),B504&lt;'112'!$N$8,$L504='112'!$I$6)),"x",""))</f>
        <v/>
      </c>
      <c r="T504" s="38" t="str">
        <f>IF(ISERROR(FIND('112'!$M$9,G504,1)),"",IF((AND(RIGHT(G504,2)=RIGHT('112'!$M$9,2),B504&lt;'112'!$N$8,$M504='112'!$I$6)),"x",""))</f>
        <v/>
      </c>
      <c r="U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38" t="str">
        <f>IF(OR(TH!L504=TH!$V$7,M504=TH!$V$7),"x","")</f>
        <v/>
      </c>
      <c r="W504" s="38" t="str">
        <f>IF(AND(B504&gt;='IN-NX'!$P$3,B504&lt;='IN-NX'!$Q$3,'IN-NX'!$D$7=D504,OR(LEFT(L504,2)="15",AND(LEFT(M504,2)&lt;&gt;"15",LEFT(M504,2)&lt;&gt;"33"))),"x","")</f>
        <v/>
      </c>
      <c r="X504" s="38" t="str">
        <f>IF(AND(OR(LEFT(TH!L504,2)="15",LEFT(TH!M504,2)="15"),'152-CT'!$J$8=TH!F504),"x","")</f>
        <v/>
      </c>
      <c r="Y504" s="38" t="str">
        <f>IF(AND(OR(LEFT(TH!L504,2)="15",LEFT(TH!M504,2)="15"),TK!$E$7=TH!F504),"x","")</f>
        <v/>
      </c>
      <c r="Z504" s="38" t="str">
        <f>IF(AND(B504&lt;=NKC!$N$8,B504&gt;=NKC!$M$8),"x","")</f>
        <v/>
      </c>
      <c r="AA504" s="845"/>
      <c r="AB504" s="581"/>
    </row>
    <row r="505" spans="1:28" s="201" customFormat="1" ht="15.75" customHeight="1">
      <c r="A505" s="846" t="str">
        <f>IF(B505&lt;&gt;"",IF(AND(B505&gt;=_TM1,B505&lt;=_TM2,OR(TH!L505="1111",TH!M505="1111")),TH!D505,""),"")</f>
        <v/>
      </c>
      <c r="B505" s="36" t="str">
        <f t="shared" si="13"/>
        <v/>
      </c>
      <c r="C505" s="187"/>
      <c r="D505" s="187"/>
      <c r="E505" s="187"/>
      <c r="F505" s="188"/>
      <c r="G505" s="854"/>
      <c r="H505" s="189"/>
      <c r="I505" s="249"/>
      <c r="J505" s="249"/>
      <c r="K505" s="589"/>
      <c r="L505" s="590"/>
      <c r="M505" s="590"/>
      <c r="N505" s="38" t="str">
        <f>IF(AND('331-CT'!$E$7=TH!H505,OR(L505="331",M505="331")),"331",IF(AND(OR(L505="131",M505="131"),H505='131-CT'!$E$7),"131",""))</f>
        <v/>
      </c>
      <c r="O505" s="38" t="str">
        <f>IF(AND($B505&gt;='111'!$N$11,$B505&lt;='111'!$O$11,OR($L505=$O$7,$M505=$O$7)),"x","")</f>
        <v/>
      </c>
      <c r="P505" s="38" t="str">
        <f>IF(AND($L505=$O$7,$B505&lt;'111'!$N$11),"x","")</f>
        <v/>
      </c>
      <c r="Q505" s="38" t="str">
        <f>IF(AND($M505=$O$7,$B505&lt;'111'!$N$11),"x","")</f>
        <v/>
      </c>
      <c r="R505" s="38" t="str">
        <f>IF(ISERROR(FIND('112'!$M$9,G505,1)),"",IF((AND(FIND('112'!$M$9,G505,1)&gt;=1,$B505&gt;='112'!$N$8,$B505&lt;='112'!$O$8,OR($L505='112'!$I$6,$M505='112'!$I$6))),"x",""))</f>
        <v/>
      </c>
      <c r="S505" s="38" t="str">
        <f>IF(ISERROR(FIND('112'!$M$9,G505,1)),"",IF((AND(LEFT(G505,2)=LEFT('112'!$M$9,2),B505&lt;'112'!$N$8,$L505='112'!$I$6)),"x",""))</f>
        <v/>
      </c>
      <c r="T505" s="38" t="str">
        <f>IF(ISERROR(FIND('112'!$M$9,G505,1)),"",IF((AND(RIGHT(G505,2)=RIGHT('112'!$M$9,2),B505&lt;'112'!$N$8,$M505='112'!$I$6)),"x",""))</f>
        <v/>
      </c>
      <c r="U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38" t="str">
        <f>IF(OR(TH!L505=TH!$V$7,M505=TH!$V$7),"x","")</f>
        <v/>
      </c>
      <c r="W505" s="38" t="str">
        <f>IF(AND(B505&gt;='IN-NX'!$P$3,B505&lt;='IN-NX'!$Q$3,'IN-NX'!$D$7=D505,OR(LEFT(L505,2)="15",AND(LEFT(M505,2)&lt;&gt;"15",LEFT(M505,2)&lt;&gt;"33"))),"x","")</f>
        <v/>
      </c>
      <c r="X505" s="38" t="str">
        <f>IF(AND(OR(LEFT(TH!L505,2)="15",LEFT(TH!M505,2)="15"),'152-CT'!$J$8=TH!F505),"x","")</f>
        <v/>
      </c>
      <c r="Y505" s="38" t="str">
        <f>IF(AND(OR(LEFT(TH!L505,2)="15",LEFT(TH!M505,2)="15"),TK!$E$7=TH!F505),"x","")</f>
        <v/>
      </c>
      <c r="Z505" s="38" t="str">
        <f>IF(AND(B505&lt;=NKC!$N$8,B505&gt;=NKC!$M$8),"x","")</f>
        <v/>
      </c>
      <c r="AA505" s="845"/>
      <c r="AB505" s="581"/>
    </row>
    <row r="506" spans="1:28" s="201" customFormat="1" ht="15.75" customHeight="1">
      <c r="A506" s="846" t="str">
        <f>IF(B506&lt;&gt;"",IF(AND(B506&gt;=_TM1,B506&lt;=_TM2,OR(TH!L506="1111",TH!M506="1111")),TH!D506,""),"")</f>
        <v/>
      </c>
      <c r="B506" s="36" t="str">
        <f t="shared" si="13"/>
        <v/>
      </c>
      <c r="C506" s="187"/>
      <c r="D506" s="187"/>
      <c r="E506" s="187"/>
      <c r="F506" s="39"/>
      <c r="G506" s="854"/>
      <c r="H506" s="189"/>
      <c r="I506" s="249"/>
      <c r="J506" s="249"/>
      <c r="K506" s="589"/>
      <c r="L506" s="590"/>
      <c r="M506" s="590"/>
      <c r="N506" s="38" t="str">
        <f>IF(AND('331-CT'!$E$7=TH!H506,OR(L506="331",M506="331")),"331",IF(AND(OR(L506="131",M506="131"),H506='131-CT'!$E$7),"131",""))</f>
        <v/>
      </c>
      <c r="O506" s="38" t="str">
        <f>IF(AND($B506&gt;='111'!$N$11,$B506&lt;='111'!$O$11,OR($L506=$O$7,$M506=$O$7)),"x","")</f>
        <v/>
      </c>
      <c r="P506" s="38" t="str">
        <f>IF(AND($L506=$O$7,$B506&lt;'111'!$N$11),"x","")</f>
        <v/>
      </c>
      <c r="Q506" s="38" t="str">
        <f>IF(AND($M506=$O$7,$B506&lt;'111'!$N$11),"x","")</f>
        <v/>
      </c>
      <c r="R506" s="38" t="str">
        <f>IF(ISERROR(FIND('112'!$M$9,G506,1)),"",IF((AND(FIND('112'!$M$9,G506,1)&gt;=1,$B506&gt;='112'!$N$8,$B506&lt;='112'!$O$8,OR($L506='112'!$I$6,$M506='112'!$I$6))),"x",""))</f>
        <v/>
      </c>
      <c r="S506" s="38" t="str">
        <f>IF(ISERROR(FIND('112'!$M$9,G506,1)),"",IF((AND(LEFT(G506,2)=LEFT('112'!$M$9,2),B506&lt;'112'!$N$8,$L506='112'!$I$6)),"x",""))</f>
        <v/>
      </c>
      <c r="T506" s="38" t="str">
        <f>IF(ISERROR(FIND('112'!$M$9,G506,1)),"",IF((AND(RIGHT(G506,2)=RIGHT('112'!$M$9,2),B506&lt;'112'!$N$8,$M506='112'!$I$6)),"x",""))</f>
        <v/>
      </c>
      <c r="U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38" t="str">
        <f>IF(OR(TH!L506=TH!$V$7,M506=TH!$V$7),"x","")</f>
        <v/>
      </c>
      <c r="W506" s="38" t="str">
        <f>IF(AND(B506&gt;='IN-NX'!$P$3,B506&lt;='IN-NX'!$Q$3,'IN-NX'!$D$7=D506,OR(LEFT(L506,2)="15",AND(LEFT(M506,2)&lt;&gt;"15",LEFT(M506,2)&lt;&gt;"33"))),"x","")</f>
        <v/>
      </c>
      <c r="X506" s="38" t="str">
        <f>IF(AND(OR(LEFT(TH!L506,2)="15",LEFT(TH!M506,2)="15"),'152-CT'!$J$8=TH!F506),"x","")</f>
        <v/>
      </c>
      <c r="Y506" s="38" t="str">
        <f>IF(AND(OR(LEFT(TH!L506,2)="15",LEFT(TH!M506,2)="15"),TK!$E$7=TH!F506),"x","")</f>
        <v/>
      </c>
      <c r="Z506" s="38" t="str">
        <f>IF(AND(B506&lt;=NKC!$N$8,B506&gt;=NKC!$M$8),"x","")</f>
        <v/>
      </c>
      <c r="AA506" s="845"/>
      <c r="AB506" s="581"/>
    </row>
    <row r="507" spans="1:28" s="201" customFormat="1" ht="15.75" customHeight="1">
      <c r="A507" s="846" t="str">
        <f>IF(B507&lt;&gt;"",IF(AND(B507&gt;=_TM1,B507&lt;=_TM2,OR(TH!L507="1111",TH!M507="1111")),TH!D507,""),"")</f>
        <v/>
      </c>
      <c r="B507" s="36" t="str">
        <f t="shared" si="13"/>
        <v/>
      </c>
      <c r="C507" s="187"/>
      <c r="D507" s="187"/>
      <c r="E507" s="187"/>
      <c r="F507" s="39"/>
      <c r="G507" s="854"/>
      <c r="H507" s="189"/>
      <c r="I507" s="249"/>
      <c r="J507" s="249"/>
      <c r="K507" s="589"/>
      <c r="L507" s="590"/>
      <c r="M507" s="590"/>
      <c r="N507" s="38" t="str">
        <f>IF(AND('331-CT'!$E$7=TH!H507,OR(L507="331",M507="331")),"331",IF(AND(OR(L507="131",M507="131"),H507='131-CT'!$E$7),"131",""))</f>
        <v/>
      </c>
      <c r="O507" s="38" t="str">
        <f>IF(AND($B507&gt;='111'!$N$11,$B507&lt;='111'!$O$11,OR($L507=$O$7,$M507=$O$7)),"x","")</f>
        <v/>
      </c>
      <c r="P507" s="38" t="str">
        <f>IF(AND($L507=$O$7,$B507&lt;'111'!$N$11),"x","")</f>
        <v/>
      </c>
      <c r="Q507" s="38" t="str">
        <f>IF(AND($M507=$O$7,$B507&lt;'111'!$N$11),"x","")</f>
        <v/>
      </c>
      <c r="R507" s="38" t="str">
        <f>IF(ISERROR(FIND('112'!$M$9,G507,1)),"",IF((AND(FIND('112'!$M$9,G507,1)&gt;=1,$B507&gt;='112'!$N$8,$B507&lt;='112'!$O$8,OR($L507='112'!$I$6,$M507='112'!$I$6))),"x",""))</f>
        <v/>
      </c>
      <c r="S507" s="38" t="str">
        <f>IF(ISERROR(FIND('112'!$M$9,G507,1)),"",IF((AND(LEFT(G507,2)=LEFT('112'!$M$9,2),B507&lt;'112'!$N$8,$L507='112'!$I$6)),"x",""))</f>
        <v/>
      </c>
      <c r="T507" s="38" t="str">
        <f>IF(ISERROR(FIND('112'!$M$9,G507,1)),"",IF((AND(RIGHT(G507,2)=RIGHT('112'!$M$9,2),B507&lt;'112'!$N$8,$M507='112'!$I$6)),"x",""))</f>
        <v/>
      </c>
      <c r="U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38" t="str">
        <f>IF(OR(TH!L507=TH!$V$7,M507=TH!$V$7),"x","")</f>
        <v/>
      </c>
      <c r="W507" s="38" t="str">
        <f>IF(AND(B507&gt;='IN-NX'!$P$3,B507&lt;='IN-NX'!$Q$3,'IN-NX'!$D$7=D507,OR(LEFT(L507,2)="15",AND(LEFT(M507,2)&lt;&gt;"15",LEFT(M507,2)&lt;&gt;"33"))),"x","")</f>
        <v/>
      </c>
      <c r="X507" s="38" t="str">
        <f>IF(AND(OR(LEFT(TH!L507,2)="15",LEFT(TH!M507,2)="15"),'152-CT'!$J$8=TH!F507),"x","")</f>
        <v/>
      </c>
      <c r="Y507" s="38" t="str">
        <f>IF(AND(OR(LEFT(TH!L507,2)="15",LEFT(TH!M507,2)="15"),TK!$E$7=TH!F507),"x","")</f>
        <v/>
      </c>
      <c r="Z507" s="38" t="str">
        <f>IF(AND(B507&lt;=NKC!$N$8,B507&gt;=NKC!$M$8),"x","")</f>
        <v/>
      </c>
      <c r="AA507" s="845"/>
      <c r="AB507" s="581"/>
    </row>
    <row r="508" spans="1:28" s="201" customFormat="1" ht="15.75" customHeight="1">
      <c r="A508" s="846" t="str">
        <f>IF(B508&lt;&gt;"",IF(AND(B508&gt;=_TM1,B508&lt;=_TM2,OR(TH!L508="1111",TH!M508="1111")),TH!D508,""),"")</f>
        <v/>
      </c>
      <c r="B508" s="36" t="str">
        <f t="shared" si="13"/>
        <v/>
      </c>
      <c r="C508" s="187"/>
      <c r="D508" s="187"/>
      <c r="E508" s="187"/>
      <c r="F508" s="185"/>
      <c r="G508" s="854"/>
      <c r="H508" s="189"/>
      <c r="I508" s="249"/>
      <c r="J508" s="249"/>
      <c r="K508" s="589"/>
      <c r="L508" s="590"/>
      <c r="M508" s="590"/>
      <c r="N508" s="38" t="str">
        <f>IF(AND('331-CT'!$E$7=TH!H508,OR(L508="331",M508="331")),"331",IF(AND(OR(L508="131",M508="131"),H508='131-CT'!$E$7),"131",""))</f>
        <v/>
      </c>
      <c r="O508" s="38" t="str">
        <f>IF(AND($B508&gt;='111'!$N$11,$B508&lt;='111'!$O$11,OR($L508=$O$7,$M508=$O$7)),"x","")</f>
        <v/>
      </c>
      <c r="P508" s="38" t="str">
        <f>IF(AND($L508=$O$7,$B508&lt;'111'!$N$11),"x","")</f>
        <v/>
      </c>
      <c r="Q508" s="38" t="str">
        <f>IF(AND($M508=$O$7,$B508&lt;'111'!$N$11),"x","")</f>
        <v/>
      </c>
      <c r="R508" s="38" t="str">
        <f>IF(ISERROR(FIND('112'!$M$9,G508,1)),"",IF((AND(FIND('112'!$M$9,G508,1)&gt;=1,$B508&gt;='112'!$N$8,$B508&lt;='112'!$O$8,OR($L508='112'!$I$6,$M508='112'!$I$6))),"x",""))</f>
        <v/>
      </c>
      <c r="S508" s="38" t="str">
        <f>IF(ISERROR(FIND('112'!$M$9,G508,1)),"",IF((AND(LEFT(G508,2)=LEFT('112'!$M$9,2),B508&lt;'112'!$N$8,$L508='112'!$I$6)),"x",""))</f>
        <v/>
      </c>
      <c r="T508" s="38" t="str">
        <f>IF(ISERROR(FIND('112'!$M$9,G508,1)),"",IF((AND(RIGHT(G508,2)=RIGHT('112'!$M$9,2),B508&lt;'112'!$N$8,$M508='112'!$I$6)),"x",""))</f>
        <v/>
      </c>
      <c r="U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38" t="str">
        <f>IF(OR(TH!L508=TH!$V$7,M508=TH!$V$7),"x","")</f>
        <v/>
      </c>
      <c r="W508" s="38" t="str">
        <f>IF(AND(B508&gt;='IN-NX'!$P$3,B508&lt;='IN-NX'!$Q$3,'IN-NX'!$D$7=D508,OR(LEFT(L508,2)="15",AND(LEFT(M508,2)&lt;&gt;"15",LEFT(M508,2)&lt;&gt;"33"))),"x","")</f>
        <v/>
      </c>
      <c r="X508" s="38" t="str">
        <f>IF(AND(OR(LEFT(TH!L508,2)="15",LEFT(TH!M508,2)="15"),'152-CT'!$J$8=TH!F508),"x","")</f>
        <v/>
      </c>
      <c r="Y508" s="38" t="str">
        <f>IF(AND(OR(LEFT(TH!L508,2)="15",LEFT(TH!M508,2)="15"),TK!$E$7=TH!F508),"x","")</f>
        <v/>
      </c>
      <c r="Z508" s="38" t="str">
        <f>IF(AND(B508&lt;=NKC!$N$8,B508&gt;=NKC!$M$8),"x","")</f>
        <v/>
      </c>
      <c r="AA508" s="845"/>
      <c r="AB508" s="581"/>
    </row>
    <row r="509" spans="1:28" s="201" customFormat="1" ht="15.75" customHeight="1">
      <c r="A509" s="846" t="str">
        <f>IF(B509&lt;&gt;"",IF(AND(B509&gt;=_TM1,B509&lt;=_TM2,OR(TH!L509="1111",TH!M509="1111")),TH!D509,""),"")</f>
        <v/>
      </c>
      <c r="B509" s="36" t="str">
        <f t="shared" si="13"/>
        <v/>
      </c>
      <c r="C509" s="187"/>
      <c r="D509" s="187"/>
      <c r="E509" s="187"/>
      <c r="F509" s="39"/>
      <c r="G509" s="854"/>
      <c r="H509" s="189"/>
      <c r="I509" s="249"/>
      <c r="J509" s="249"/>
      <c r="K509" s="589"/>
      <c r="L509" s="590"/>
      <c r="M509" s="590"/>
      <c r="N509" s="38" t="str">
        <f>IF(AND('331-CT'!$E$7=TH!H509,OR(L509="331",M509="331")),"331",IF(AND(OR(L509="131",M509="131"),H509='131-CT'!$E$7),"131",""))</f>
        <v/>
      </c>
      <c r="O509" s="38" t="str">
        <f>IF(AND($B509&gt;='111'!$N$11,$B509&lt;='111'!$O$11,OR($L509=$O$7,$M509=$O$7)),"x","")</f>
        <v/>
      </c>
      <c r="P509" s="38" t="str">
        <f>IF(AND($L509=$O$7,$B509&lt;'111'!$N$11),"x","")</f>
        <v/>
      </c>
      <c r="Q509" s="38" t="str">
        <f>IF(AND($M509=$O$7,$B509&lt;'111'!$N$11),"x","")</f>
        <v/>
      </c>
      <c r="R509" s="38" t="str">
        <f>IF(ISERROR(FIND('112'!$M$9,G509,1)),"",IF((AND(FIND('112'!$M$9,G509,1)&gt;=1,$B509&gt;='112'!$N$8,$B509&lt;='112'!$O$8,OR($L509='112'!$I$6,$M509='112'!$I$6))),"x",""))</f>
        <v/>
      </c>
      <c r="S509" s="38" t="str">
        <f>IF(ISERROR(FIND('112'!$M$9,G509,1)),"",IF((AND(LEFT(G509,2)=LEFT('112'!$M$9,2),B509&lt;'112'!$N$8,$L509='112'!$I$6)),"x",""))</f>
        <v/>
      </c>
      <c r="T509" s="38" t="str">
        <f>IF(ISERROR(FIND('112'!$M$9,G509,1)),"",IF((AND(RIGHT(G509,2)=RIGHT('112'!$M$9,2),B509&lt;'112'!$N$8,$M509='112'!$I$6)),"x",""))</f>
        <v/>
      </c>
      <c r="U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38" t="str">
        <f>IF(OR(TH!L509=TH!$V$7,M509=TH!$V$7),"x","")</f>
        <v/>
      </c>
      <c r="W509" s="38" t="str">
        <f>IF(AND(B509&gt;='IN-NX'!$P$3,B509&lt;='IN-NX'!$Q$3,'IN-NX'!$D$7=D509,OR(LEFT(L509,2)="15",AND(LEFT(M509,2)&lt;&gt;"15",LEFT(M509,2)&lt;&gt;"33"))),"x","")</f>
        <v/>
      </c>
      <c r="X509" s="38" t="str">
        <f>IF(AND(OR(LEFT(TH!L509,2)="15",LEFT(TH!M509,2)="15"),'152-CT'!$J$8=TH!F509),"x","")</f>
        <v/>
      </c>
      <c r="Y509" s="38" t="str">
        <f>IF(AND(OR(LEFT(TH!L509,2)="15",LEFT(TH!M509,2)="15"),TK!$E$7=TH!F509),"x","")</f>
        <v/>
      </c>
      <c r="Z509" s="38" t="str">
        <f>IF(AND(B509&lt;=NKC!$N$8,B509&gt;=NKC!$M$8),"x","")</f>
        <v/>
      </c>
      <c r="AA509" s="845"/>
      <c r="AB509" s="581"/>
    </row>
    <row r="510" spans="1:28" s="201" customFormat="1" ht="15.75" customHeight="1">
      <c r="A510" s="846" t="str">
        <f>IF(B510&lt;&gt;"",IF(AND(B510&gt;=_TM1,B510&lt;=_TM2,OR(TH!L510="1111",TH!M510="1111")),TH!D510,""),"")</f>
        <v/>
      </c>
      <c r="B510" s="36" t="str">
        <f t="shared" si="13"/>
        <v/>
      </c>
      <c r="C510" s="187"/>
      <c r="D510" s="187"/>
      <c r="E510" s="187"/>
      <c r="F510" s="39"/>
      <c r="G510" s="854"/>
      <c r="H510" s="189"/>
      <c r="I510" s="249"/>
      <c r="J510" s="249"/>
      <c r="K510" s="589"/>
      <c r="L510" s="590"/>
      <c r="M510" s="590"/>
      <c r="N510" s="38" t="str">
        <f>IF(AND('331-CT'!$E$7=TH!H510,OR(L510="331",M510="331")),"331",IF(AND(OR(L510="131",M510="131"),H510='131-CT'!$E$7),"131",""))</f>
        <v/>
      </c>
      <c r="O510" s="38" t="str">
        <f>IF(AND($B510&gt;='111'!$N$11,$B510&lt;='111'!$O$11,OR($L510=$O$7,$M510=$O$7)),"x","")</f>
        <v/>
      </c>
      <c r="P510" s="38" t="str">
        <f>IF(AND($L510=$O$7,$B510&lt;'111'!$N$11),"x","")</f>
        <v/>
      </c>
      <c r="Q510" s="38" t="str">
        <f>IF(AND($M510=$O$7,$B510&lt;'111'!$N$11),"x","")</f>
        <v/>
      </c>
      <c r="R510" s="38" t="str">
        <f>IF(ISERROR(FIND('112'!$M$9,G510,1)),"",IF((AND(FIND('112'!$M$9,G510,1)&gt;=1,$B510&gt;='112'!$N$8,$B510&lt;='112'!$O$8,OR($L510='112'!$I$6,$M510='112'!$I$6))),"x",""))</f>
        <v/>
      </c>
      <c r="S510" s="38" t="str">
        <f>IF(ISERROR(FIND('112'!$M$9,G510,1)),"",IF((AND(LEFT(G510,2)=LEFT('112'!$M$9,2),B510&lt;'112'!$N$8,$L510='112'!$I$6)),"x",""))</f>
        <v/>
      </c>
      <c r="T510" s="38" t="str">
        <f>IF(ISERROR(FIND('112'!$M$9,G510,1)),"",IF((AND(RIGHT(G510,2)=RIGHT('112'!$M$9,2),B510&lt;'112'!$N$8,$M510='112'!$I$6)),"x",""))</f>
        <v/>
      </c>
      <c r="U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38" t="str">
        <f>IF(OR(TH!L510=TH!$V$7,M510=TH!$V$7),"x","")</f>
        <v/>
      </c>
      <c r="W510" s="38" t="str">
        <f>IF(AND(B510&gt;='IN-NX'!$P$3,B510&lt;='IN-NX'!$Q$3,'IN-NX'!$D$7=D510,OR(LEFT(L510,2)="15",AND(LEFT(M510,2)&lt;&gt;"15",LEFT(M510,2)&lt;&gt;"33"))),"x","")</f>
        <v/>
      </c>
      <c r="X510" s="38" t="str">
        <f>IF(AND(OR(LEFT(TH!L510,2)="15",LEFT(TH!M510,2)="15"),'152-CT'!$J$8=TH!F510),"x","")</f>
        <v/>
      </c>
      <c r="Y510" s="38" t="str">
        <f>IF(AND(OR(LEFT(TH!L510,2)="15",LEFT(TH!M510,2)="15"),TK!$E$7=TH!F510),"x","")</f>
        <v/>
      </c>
      <c r="Z510" s="38" t="str">
        <f>IF(AND(B510&lt;=NKC!$N$8,B510&gt;=NKC!$M$8),"x","")</f>
        <v/>
      </c>
      <c r="AA510" s="845"/>
      <c r="AB510" s="581"/>
    </row>
    <row r="511" spans="1:28" s="201" customFormat="1" ht="15.75" customHeight="1">
      <c r="A511" s="846" t="str">
        <f>IF(B511&lt;&gt;"",IF(AND(B511&gt;=_TM1,B511&lt;=_TM2,OR(TH!L511="1111",TH!M511="1111")),TH!D511,""),"")</f>
        <v/>
      </c>
      <c r="B511" s="36" t="str">
        <f t="shared" si="13"/>
        <v/>
      </c>
      <c r="C511" s="187"/>
      <c r="D511" s="187"/>
      <c r="E511" s="187"/>
      <c r="F511" s="39"/>
      <c r="G511" s="854"/>
      <c r="H511" s="189"/>
      <c r="I511" s="249"/>
      <c r="J511" s="249"/>
      <c r="K511" s="589"/>
      <c r="L511" s="590"/>
      <c r="M511" s="590"/>
      <c r="N511" s="38" t="str">
        <f>IF(AND('331-CT'!$E$7=TH!H511,OR(L511="331",M511="331")),"331",IF(AND(OR(L511="131",M511="131"),H511='131-CT'!$E$7),"131",""))</f>
        <v/>
      </c>
      <c r="O511" s="38" t="str">
        <f>IF(AND($B511&gt;='111'!$N$11,$B511&lt;='111'!$O$11,OR($L511=$O$7,$M511=$O$7)),"x","")</f>
        <v/>
      </c>
      <c r="P511" s="38" t="str">
        <f>IF(AND($L511=$O$7,$B511&lt;'111'!$N$11),"x","")</f>
        <v/>
      </c>
      <c r="Q511" s="38" t="str">
        <f>IF(AND($M511=$O$7,$B511&lt;'111'!$N$11),"x","")</f>
        <v/>
      </c>
      <c r="R511" s="38" t="str">
        <f>IF(ISERROR(FIND('112'!$M$9,G511,1)),"",IF((AND(FIND('112'!$M$9,G511,1)&gt;=1,$B511&gt;='112'!$N$8,$B511&lt;='112'!$O$8,OR($L511='112'!$I$6,$M511='112'!$I$6))),"x",""))</f>
        <v/>
      </c>
      <c r="S511" s="38" t="str">
        <f>IF(ISERROR(FIND('112'!$M$9,G511,1)),"",IF((AND(LEFT(G511,2)=LEFT('112'!$M$9,2),B511&lt;'112'!$N$8,$L511='112'!$I$6)),"x",""))</f>
        <v/>
      </c>
      <c r="T511" s="38" t="str">
        <f>IF(ISERROR(FIND('112'!$M$9,G511,1)),"",IF((AND(RIGHT(G511,2)=RIGHT('112'!$M$9,2),B511&lt;'112'!$N$8,$M511='112'!$I$6)),"x",""))</f>
        <v/>
      </c>
      <c r="U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V511" s="38" t="str">
        <f>IF(OR(TH!L511=TH!$V$7,M511=TH!$V$7),"x","")</f>
        <v/>
      </c>
      <c r="W511" s="38" t="str">
        <f>IF(AND(B511&gt;='IN-NX'!$P$3,B511&lt;='IN-NX'!$Q$3,'IN-NX'!$D$7=D511,OR(LEFT(L511,2)="15",AND(LEFT(M511,2)&lt;&gt;"15",LEFT(M511,2)&lt;&gt;"33"))),"x","")</f>
        <v/>
      </c>
      <c r="X511" s="38" t="str">
        <f>IF(AND(OR(LEFT(TH!L511,2)="15",LEFT(TH!M511,2)="15"),'152-CT'!$J$8=TH!F511),"x","")</f>
        <v/>
      </c>
      <c r="Y511" s="38" t="str">
        <f>IF(AND(OR(LEFT(TH!L511,2)="15",LEFT(TH!M511,2)="15"),TK!$E$7=TH!F511),"x","")</f>
        <v/>
      </c>
      <c r="Z511" s="38" t="str">
        <f>IF(AND(B511&lt;=NKC!$N$8,B511&gt;=NKC!$M$8),"x","")</f>
        <v/>
      </c>
      <c r="AA511" s="845"/>
      <c r="AB511" s="581"/>
    </row>
    <row r="512" spans="1:28" s="201" customFormat="1" ht="15.75" customHeight="1">
      <c r="A512" s="846" t="str">
        <f>IF(B512&lt;&gt;"",IF(AND(B512&gt;=_TM1,B512&lt;=_TM2,OR(TH!L512="1111",TH!M512="1111")),TH!D512,""),"")</f>
        <v/>
      </c>
      <c r="B512" s="36" t="str">
        <f t="shared" si="13"/>
        <v/>
      </c>
      <c r="C512" s="187"/>
      <c r="D512" s="187"/>
      <c r="E512" s="187"/>
      <c r="F512" s="39"/>
      <c r="G512" s="854"/>
      <c r="H512" s="189"/>
      <c r="I512" s="249"/>
      <c r="J512" s="249"/>
      <c r="K512" s="589"/>
      <c r="L512" s="590"/>
      <c r="M512" s="590"/>
      <c r="N512" s="38" t="str">
        <f>IF(AND('331-CT'!$E$7=TH!H512,OR(L512="331",M512="331")),"331",IF(AND(OR(L512="131",M512="131"),H512='131-CT'!$E$7),"131",""))</f>
        <v/>
      </c>
      <c r="O512" s="38" t="str">
        <f>IF(AND($B512&gt;='111'!$N$11,$B512&lt;='111'!$O$11,OR($L512=$O$7,$M512=$O$7)),"x","")</f>
        <v/>
      </c>
      <c r="P512" s="38" t="str">
        <f>IF(AND($L512=$O$7,$B512&lt;'111'!$N$11),"x","")</f>
        <v/>
      </c>
      <c r="Q512" s="38" t="str">
        <f>IF(AND($M512=$O$7,$B512&lt;'111'!$N$11),"x","")</f>
        <v/>
      </c>
      <c r="R512" s="38" t="str">
        <f>IF(ISERROR(FIND('112'!$M$9,G512,1)),"",IF((AND(FIND('112'!$M$9,G512,1)&gt;=1,$B512&gt;='112'!$N$8,$B512&lt;='112'!$O$8,OR($L512='112'!$I$6,$M512='112'!$I$6))),"x",""))</f>
        <v/>
      </c>
      <c r="S512" s="38" t="str">
        <f>IF(ISERROR(FIND('112'!$M$9,G512,1)),"",IF((AND(LEFT(G512,2)=LEFT('112'!$M$9,2),B512&lt;'112'!$N$8,$L512='112'!$I$6)),"x",""))</f>
        <v/>
      </c>
      <c r="T512" s="38" t="str">
        <f>IF(ISERROR(FIND('112'!$M$9,G512,1)),"",IF((AND(RIGHT(G512,2)=RIGHT('112'!$M$9,2),B512&lt;'112'!$N$8,$M512='112'!$I$6)),"x",""))</f>
        <v/>
      </c>
      <c r="U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38" t="str">
        <f>IF(OR(TH!L512=TH!$V$7,M512=TH!$V$7),"x","")</f>
        <v/>
      </c>
      <c r="W512" s="38" t="str">
        <f>IF(AND(B512&gt;='IN-NX'!$P$3,B512&lt;='IN-NX'!$Q$3,'IN-NX'!$D$7=D512,OR(LEFT(L512,2)="15",AND(LEFT(M512,2)&lt;&gt;"15",LEFT(M512,2)&lt;&gt;"33"))),"x","")</f>
        <v/>
      </c>
      <c r="X512" s="38" t="str">
        <f>IF(AND(OR(LEFT(TH!L512,2)="15",LEFT(TH!M512,2)="15"),'152-CT'!$J$8=TH!F512),"x","")</f>
        <v/>
      </c>
      <c r="Y512" s="38" t="str">
        <f>IF(AND(OR(LEFT(TH!L512,2)="15",LEFT(TH!M512,2)="15"),TK!$E$7=TH!F512),"x","")</f>
        <v/>
      </c>
      <c r="Z512" s="38" t="str">
        <f>IF(AND(B512&lt;=NKC!$N$8,B512&gt;=NKC!$M$8),"x","")</f>
        <v/>
      </c>
      <c r="AA512" s="845"/>
      <c r="AB512" s="581"/>
    </row>
    <row r="513" spans="1:28" s="201" customFormat="1" ht="15.75" customHeight="1">
      <c r="A513" s="846" t="str">
        <f>IF(B513&lt;&gt;"",IF(AND(B513&gt;=_TM1,B513&lt;=_TM2,OR(TH!L513="1111",TH!M513="1111")),TH!D513,""),"")</f>
        <v/>
      </c>
      <c r="B513" s="36" t="str">
        <f t="shared" si="13"/>
        <v/>
      </c>
      <c r="C513" s="187"/>
      <c r="D513" s="187"/>
      <c r="E513" s="187"/>
      <c r="F513" s="188"/>
      <c r="G513" s="854"/>
      <c r="H513" s="189"/>
      <c r="I513" s="249"/>
      <c r="J513" s="249"/>
      <c r="K513" s="589"/>
      <c r="L513" s="590"/>
      <c r="M513" s="590"/>
      <c r="N513" s="38" t="str">
        <f>IF(AND('331-CT'!$E$7=TH!H513,OR(L513="331",M513="331")),"331",IF(AND(OR(L513="131",M513="131"),H513='131-CT'!$E$7),"131",""))</f>
        <v/>
      </c>
      <c r="O513" s="38" t="str">
        <f>IF(AND($B513&gt;='111'!$N$11,$B513&lt;='111'!$O$11,OR($L513=$O$7,$M513=$O$7)),"x","")</f>
        <v/>
      </c>
      <c r="P513" s="38" t="str">
        <f>IF(AND($L513=$O$7,$B513&lt;'111'!$N$11),"x","")</f>
        <v/>
      </c>
      <c r="Q513" s="38" t="str">
        <f>IF(AND($M513=$O$7,$B513&lt;'111'!$N$11),"x","")</f>
        <v/>
      </c>
      <c r="R513" s="38" t="str">
        <f>IF(ISERROR(FIND('112'!$M$9,G513,1)),"",IF((AND(FIND('112'!$M$9,G513,1)&gt;=1,$B513&gt;='112'!$N$8,$B513&lt;='112'!$O$8,OR($L513='112'!$I$6,$M513='112'!$I$6))),"x",""))</f>
        <v/>
      </c>
      <c r="S513" s="38" t="str">
        <f>IF(ISERROR(FIND('112'!$M$9,G513,1)),"",IF((AND(LEFT(G513,2)=LEFT('112'!$M$9,2),B513&lt;'112'!$N$8,$L513='112'!$I$6)),"x",""))</f>
        <v/>
      </c>
      <c r="T513" s="38" t="str">
        <f>IF(ISERROR(FIND('112'!$M$9,G513,1)),"",IF((AND(RIGHT(G513,2)=RIGHT('112'!$M$9,2),B513&lt;'112'!$N$8,$M513='112'!$I$6)),"x",""))</f>
        <v/>
      </c>
      <c r="U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38" t="str">
        <f>IF(OR(TH!L513=TH!$V$7,M513=TH!$V$7),"x","")</f>
        <v/>
      </c>
      <c r="W513" s="38" t="str">
        <f>IF(AND(B513&gt;='IN-NX'!$P$3,B513&lt;='IN-NX'!$Q$3,'IN-NX'!$D$7=D513,OR(LEFT(L513,2)="15",AND(LEFT(M513,2)&lt;&gt;"15",LEFT(M513,2)&lt;&gt;"33"))),"x","")</f>
        <v/>
      </c>
      <c r="X513" s="38" t="str">
        <f>IF(AND(OR(LEFT(TH!L513,2)="15",LEFT(TH!M513,2)="15"),'152-CT'!$J$8=TH!F513),"x","")</f>
        <v/>
      </c>
      <c r="Y513" s="38" t="str">
        <f>IF(AND(OR(LEFT(TH!L513,2)="15",LEFT(TH!M513,2)="15"),TK!$E$7=TH!F513),"x","")</f>
        <v/>
      </c>
      <c r="Z513" s="38" t="str">
        <f>IF(AND(B513&lt;=NKC!$N$8,B513&gt;=NKC!$M$8),"x","")</f>
        <v/>
      </c>
      <c r="AA513" s="845"/>
      <c r="AB513" s="581"/>
    </row>
    <row r="514" spans="1:28" s="201" customFormat="1" ht="15.75" customHeight="1">
      <c r="A514" s="846" t="str">
        <f>IF(B514&lt;&gt;"",IF(AND(B514&gt;=_TM1,B514&lt;=_TM2,OR(TH!L514="1111",TH!M514="1111")),TH!D514,""),"")</f>
        <v/>
      </c>
      <c r="B514" s="36" t="str">
        <f t="shared" si="13"/>
        <v/>
      </c>
      <c r="C514" s="187"/>
      <c r="D514" s="187"/>
      <c r="E514" s="187"/>
      <c r="F514" s="39"/>
      <c r="G514" s="854"/>
      <c r="H514" s="189"/>
      <c r="I514" s="249"/>
      <c r="J514" s="249"/>
      <c r="K514" s="589"/>
      <c r="L514" s="590"/>
      <c r="M514" s="590"/>
      <c r="N514" s="38" t="str">
        <f>IF(AND('331-CT'!$E$7=TH!H514,OR(L514="331",M514="331")),"331",IF(AND(OR(L514="131",M514="131"),H514='131-CT'!$E$7),"131",""))</f>
        <v/>
      </c>
      <c r="O514" s="38" t="str">
        <f>IF(AND($B514&gt;='111'!$N$11,$B514&lt;='111'!$O$11,OR($L514=$O$7,$M514=$O$7)),"x","")</f>
        <v/>
      </c>
      <c r="P514" s="38" t="str">
        <f>IF(AND($L514=$O$7,$B514&lt;'111'!$N$11),"x","")</f>
        <v/>
      </c>
      <c r="Q514" s="38" t="str">
        <f>IF(AND($M514=$O$7,$B514&lt;'111'!$N$11),"x","")</f>
        <v/>
      </c>
      <c r="R514" s="38" t="str">
        <f>IF(ISERROR(FIND('112'!$M$9,G514,1)),"",IF((AND(FIND('112'!$M$9,G514,1)&gt;=1,$B514&gt;='112'!$N$8,$B514&lt;='112'!$O$8,OR($L514='112'!$I$6,$M514='112'!$I$6))),"x",""))</f>
        <v/>
      </c>
      <c r="S514" s="38" t="str">
        <f>IF(ISERROR(FIND('112'!$M$9,G514,1)),"",IF((AND(LEFT(G514,2)=LEFT('112'!$M$9,2),B514&lt;'112'!$N$8,$L514='112'!$I$6)),"x",""))</f>
        <v/>
      </c>
      <c r="T514" s="38" t="str">
        <f>IF(ISERROR(FIND('112'!$M$9,G514,1)),"",IF((AND(RIGHT(G514,2)=RIGHT('112'!$M$9,2),B514&lt;'112'!$N$8,$M514='112'!$I$6)),"x",""))</f>
        <v/>
      </c>
      <c r="U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38" t="str">
        <f>IF(OR(TH!L514=TH!$V$7,M514=TH!$V$7),"x","")</f>
        <v/>
      </c>
      <c r="W514" s="38" t="str">
        <f>IF(AND(B514&gt;='IN-NX'!$P$3,B514&lt;='IN-NX'!$Q$3,'IN-NX'!$D$7=D514,OR(LEFT(L514,2)="15",AND(LEFT(M514,2)&lt;&gt;"15",LEFT(M514,2)&lt;&gt;"33"))),"x","")</f>
        <v/>
      </c>
      <c r="X514" s="38" t="str">
        <f>IF(AND(OR(LEFT(TH!L514,2)="15",LEFT(TH!M514,2)="15"),'152-CT'!$J$8=TH!F514),"x","")</f>
        <v/>
      </c>
      <c r="Y514" s="38" t="str">
        <f>IF(AND(OR(LEFT(TH!L514,2)="15",LEFT(TH!M514,2)="15"),TK!$E$7=TH!F514),"x","")</f>
        <v/>
      </c>
      <c r="Z514" s="38" t="str">
        <f>IF(AND(B514&lt;=NKC!$N$8,B514&gt;=NKC!$M$8),"x","")</f>
        <v/>
      </c>
      <c r="AA514" s="845"/>
      <c r="AB514" s="581"/>
    </row>
    <row r="515" spans="1:28" s="201" customFormat="1" ht="15.75" customHeight="1">
      <c r="A515" s="846" t="str">
        <f>IF(B515&lt;&gt;"",IF(AND(B515&gt;=_TM1,B515&lt;=_TM2,OR(TH!L515="1111",TH!M515="1111")),TH!D515,""),"")</f>
        <v/>
      </c>
      <c r="B515" s="36" t="str">
        <f t="shared" si="13"/>
        <v/>
      </c>
      <c r="C515" s="187"/>
      <c r="D515" s="187"/>
      <c r="E515" s="187"/>
      <c r="F515" s="39"/>
      <c r="G515" s="854"/>
      <c r="H515" s="189"/>
      <c r="I515" s="249"/>
      <c r="J515" s="249"/>
      <c r="K515" s="589"/>
      <c r="L515" s="590"/>
      <c r="M515" s="590"/>
      <c r="N515" s="38" t="str">
        <f>IF(AND('331-CT'!$E$7=TH!H515,OR(L515="331",M515="331")),"331",IF(AND(OR(L515="131",M515="131"),H515='131-CT'!$E$7),"131",""))</f>
        <v/>
      </c>
      <c r="O515" s="38" t="str">
        <f>IF(AND($B515&gt;='111'!$N$11,$B515&lt;='111'!$O$11,OR($L515=$O$7,$M515=$O$7)),"x","")</f>
        <v/>
      </c>
      <c r="P515" s="38" t="str">
        <f>IF(AND($L515=$O$7,$B515&lt;'111'!$N$11),"x","")</f>
        <v/>
      </c>
      <c r="Q515" s="38" t="str">
        <f>IF(AND($M515=$O$7,$B515&lt;'111'!$N$11),"x","")</f>
        <v/>
      </c>
      <c r="R515" s="38" t="str">
        <f>IF(ISERROR(FIND('112'!$M$9,G515,1)),"",IF((AND(FIND('112'!$M$9,G515,1)&gt;=1,$B515&gt;='112'!$N$8,$B515&lt;='112'!$O$8,OR($L515='112'!$I$6,$M515='112'!$I$6))),"x",""))</f>
        <v/>
      </c>
      <c r="S515" s="38" t="str">
        <f>IF(ISERROR(FIND('112'!$M$9,G515,1)),"",IF((AND(LEFT(G515,2)=LEFT('112'!$M$9,2),B515&lt;'112'!$N$8,$L515='112'!$I$6)),"x",""))</f>
        <v/>
      </c>
      <c r="T515" s="38" t="str">
        <f>IF(ISERROR(FIND('112'!$M$9,G515,1)),"",IF((AND(RIGHT(G515,2)=RIGHT('112'!$M$9,2),B515&lt;'112'!$N$8,$M515='112'!$I$6)),"x",""))</f>
        <v/>
      </c>
      <c r="U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38" t="str">
        <f>IF(OR(TH!L515=TH!$V$7,M515=TH!$V$7),"x","")</f>
        <v/>
      </c>
      <c r="W515" s="38" t="str">
        <f>IF(AND(B515&gt;='IN-NX'!$P$3,B515&lt;='IN-NX'!$Q$3,'IN-NX'!$D$7=D515,OR(LEFT(L515,2)="15",AND(LEFT(M515,2)&lt;&gt;"15",LEFT(M515,2)&lt;&gt;"33"))),"x","")</f>
        <v/>
      </c>
      <c r="X515" s="38" t="str">
        <f>IF(AND(OR(LEFT(TH!L515,2)="15",LEFT(TH!M515,2)="15"),'152-CT'!$J$8=TH!F515),"x","")</f>
        <v/>
      </c>
      <c r="Y515" s="38" t="str">
        <f>IF(AND(OR(LEFT(TH!L515,2)="15",LEFT(TH!M515,2)="15"),TK!$E$7=TH!F515),"x","")</f>
        <v/>
      </c>
      <c r="Z515" s="38" t="str">
        <f>IF(AND(B515&lt;=NKC!$N$8,B515&gt;=NKC!$M$8),"x","")</f>
        <v/>
      </c>
      <c r="AA515" s="845"/>
      <c r="AB515" s="581"/>
    </row>
    <row r="516" spans="1:28" s="201" customFormat="1" ht="15.75" customHeight="1">
      <c r="A516" s="846" t="str">
        <f>IF(B516&lt;&gt;"",IF(AND(B516&gt;=_TM1,B516&lt;=_TM2,OR(TH!L516="1111",TH!M516="1111")),TH!D516,""),"")</f>
        <v/>
      </c>
      <c r="B516" s="36" t="str">
        <f t="shared" si="13"/>
        <v/>
      </c>
      <c r="C516" s="187"/>
      <c r="D516" s="187"/>
      <c r="E516" s="187"/>
      <c r="F516" s="185"/>
      <c r="G516" s="854"/>
      <c r="H516" s="189"/>
      <c r="I516" s="249"/>
      <c r="J516" s="249"/>
      <c r="K516" s="589"/>
      <c r="L516" s="590"/>
      <c r="M516" s="590"/>
      <c r="N516" s="38" t="str">
        <f>IF(AND('331-CT'!$E$7=TH!H516,OR(L516="331",M516="331")),"331",IF(AND(OR(L516="131",M516="131"),H516='131-CT'!$E$7),"131",""))</f>
        <v/>
      </c>
      <c r="O516" s="38" t="str">
        <f>IF(AND($B516&gt;='111'!$N$11,$B516&lt;='111'!$O$11,OR($L516=$O$7,$M516=$O$7)),"x","")</f>
        <v/>
      </c>
      <c r="P516" s="38" t="str">
        <f>IF(AND($L516=$O$7,$B516&lt;'111'!$N$11),"x","")</f>
        <v/>
      </c>
      <c r="Q516" s="38" t="str">
        <f>IF(AND($M516=$O$7,$B516&lt;'111'!$N$11),"x","")</f>
        <v/>
      </c>
      <c r="R516" s="38" t="str">
        <f>IF(ISERROR(FIND('112'!$M$9,G516,1)),"",IF((AND(FIND('112'!$M$9,G516,1)&gt;=1,$B516&gt;='112'!$N$8,$B516&lt;='112'!$O$8,OR($L516='112'!$I$6,$M516='112'!$I$6))),"x",""))</f>
        <v/>
      </c>
      <c r="S516" s="38" t="str">
        <f>IF(ISERROR(FIND('112'!$M$9,G516,1)),"",IF((AND(LEFT(G516,2)=LEFT('112'!$M$9,2),B516&lt;'112'!$N$8,$L516='112'!$I$6)),"x",""))</f>
        <v/>
      </c>
      <c r="T516" s="38" t="str">
        <f>IF(ISERROR(FIND('112'!$M$9,G516,1)),"",IF((AND(RIGHT(G516,2)=RIGHT('112'!$M$9,2),B516&lt;'112'!$N$8,$M516='112'!$I$6)),"x",""))</f>
        <v/>
      </c>
      <c r="U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38" t="str">
        <f>IF(OR(TH!L516=TH!$V$7,M516=TH!$V$7),"x","")</f>
        <v/>
      </c>
      <c r="W516" s="38" t="str">
        <f>IF(AND(B516&gt;='IN-NX'!$P$3,B516&lt;='IN-NX'!$Q$3,'IN-NX'!$D$7=D516,OR(LEFT(L516,2)="15",AND(LEFT(M516,2)&lt;&gt;"15",LEFT(M516,2)&lt;&gt;"33"))),"x","")</f>
        <v/>
      </c>
      <c r="X516" s="38" t="str">
        <f>IF(AND(OR(LEFT(TH!L516,2)="15",LEFT(TH!M516,2)="15"),'152-CT'!$J$8=TH!F516),"x","")</f>
        <v/>
      </c>
      <c r="Y516" s="38" t="str">
        <f>IF(AND(OR(LEFT(TH!L516,2)="15",LEFT(TH!M516,2)="15"),TK!$E$7=TH!F516),"x","")</f>
        <v/>
      </c>
      <c r="Z516" s="38" t="str">
        <f>IF(AND(B516&lt;=NKC!$N$8,B516&gt;=NKC!$M$8),"x","")</f>
        <v/>
      </c>
      <c r="AA516" s="845"/>
      <c r="AB516" s="581"/>
    </row>
    <row r="517" spans="1:28" s="201" customFormat="1" ht="15.75" customHeight="1">
      <c r="A517" s="846" t="str">
        <f>IF(B517&lt;&gt;"",IF(AND(B517&gt;=_TM1,B517&lt;=_TM2,OR(TH!L517="1111",TH!M517="1111")),TH!D517,""),"")</f>
        <v/>
      </c>
      <c r="B517" s="36" t="str">
        <f t="shared" si="13"/>
        <v/>
      </c>
      <c r="C517" s="187"/>
      <c r="D517" s="187"/>
      <c r="E517" s="187"/>
      <c r="F517" s="39"/>
      <c r="G517" s="854"/>
      <c r="H517" s="189"/>
      <c r="I517" s="249"/>
      <c r="J517" s="249"/>
      <c r="K517" s="589"/>
      <c r="L517" s="590"/>
      <c r="M517" s="590"/>
      <c r="N517" s="38" t="str">
        <f>IF(AND('331-CT'!$E$7=TH!H517,OR(L517="331",M517="331")),"331",IF(AND(OR(L517="131",M517="131"),H517='131-CT'!$E$7),"131",""))</f>
        <v/>
      </c>
      <c r="O517" s="38" t="str">
        <f>IF(AND($B517&gt;='111'!$N$11,$B517&lt;='111'!$O$11,OR($L517=$O$7,$M517=$O$7)),"x","")</f>
        <v/>
      </c>
      <c r="P517" s="38" t="str">
        <f>IF(AND($L517=$O$7,$B517&lt;'111'!$N$11),"x","")</f>
        <v/>
      </c>
      <c r="Q517" s="38" t="str">
        <f>IF(AND($M517=$O$7,$B517&lt;'111'!$N$11),"x","")</f>
        <v/>
      </c>
      <c r="R517" s="38" t="str">
        <f>IF(ISERROR(FIND('112'!$M$9,G517,1)),"",IF((AND(FIND('112'!$M$9,G517,1)&gt;=1,$B517&gt;='112'!$N$8,$B517&lt;='112'!$O$8,OR($L517='112'!$I$6,$M517='112'!$I$6))),"x",""))</f>
        <v/>
      </c>
      <c r="S517" s="38" t="str">
        <f>IF(ISERROR(FIND('112'!$M$9,G517,1)),"",IF((AND(LEFT(G517,2)=LEFT('112'!$M$9,2),B517&lt;'112'!$N$8,$L517='112'!$I$6)),"x",""))</f>
        <v/>
      </c>
      <c r="T517" s="38" t="str">
        <f>IF(ISERROR(FIND('112'!$M$9,G517,1)),"",IF((AND(RIGHT(G517,2)=RIGHT('112'!$M$9,2),B517&lt;'112'!$N$8,$M517='112'!$I$6)),"x",""))</f>
        <v/>
      </c>
      <c r="U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38" t="str">
        <f>IF(OR(TH!L517=TH!$V$7,M517=TH!$V$7),"x","")</f>
        <v/>
      </c>
      <c r="W517" s="38" t="str">
        <f>IF(AND(B517&gt;='IN-NX'!$P$3,B517&lt;='IN-NX'!$Q$3,'IN-NX'!$D$7=D517,OR(LEFT(L517,2)="15",AND(LEFT(M517,2)&lt;&gt;"15",LEFT(M517,2)&lt;&gt;"33"))),"x","")</f>
        <v/>
      </c>
      <c r="X517" s="38" t="str">
        <f>IF(AND(OR(LEFT(TH!L517,2)="15",LEFT(TH!M517,2)="15"),'152-CT'!$J$8=TH!F517),"x","")</f>
        <v/>
      </c>
      <c r="Y517" s="38" t="str">
        <f>IF(AND(OR(LEFT(TH!L517,2)="15",LEFT(TH!M517,2)="15"),TK!$E$7=TH!F517),"x","")</f>
        <v/>
      </c>
      <c r="Z517" s="38" t="str">
        <f>IF(AND(B517&lt;=NKC!$N$8,B517&gt;=NKC!$M$8),"x","")</f>
        <v/>
      </c>
      <c r="AA517" s="845"/>
      <c r="AB517" s="581"/>
    </row>
    <row r="518" spans="1:28" s="201" customFormat="1" ht="15.75" customHeight="1">
      <c r="A518" s="846" t="str">
        <f>IF(B518&lt;&gt;"",IF(AND(B518&gt;=_TM1,B518&lt;=_TM2,OR(TH!L518="1111",TH!M518="1111")),TH!D518,""),"")</f>
        <v/>
      </c>
      <c r="B518" s="36" t="str">
        <f t="shared" si="13"/>
        <v/>
      </c>
      <c r="C518" s="187"/>
      <c r="D518" s="187"/>
      <c r="E518" s="187"/>
      <c r="F518" s="39"/>
      <c r="G518" s="854"/>
      <c r="H518" s="189"/>
      <c r="I518" s="249"/>
      <c r="J518" s="249"/>
      <c r="K518" s="589"/>
      <c r="L518" s="590"/>
      <c r="M518" s="590"/>
      <c r="N518" s="38" t="str">
        <f>IF(AND('331-CT'!$E$7=TH!H518,OR(L518="331",M518="331")),"331",IF(AND(OR(L518="131",M518="131"),H518='131-CT'!$E$7),"131",""))</f>
        <v/>
      </c>
      <c r="O518" s="38" t="str">
        <f>IF(AND($B518&gt;='111'!$N$11,$B518&lt;='111'!$O$11,OR($L518=$O$7,$M518=$O$7)),"x","")</f>
        <v/>
      </c>
      <c r="P518" s="38" t="str">
        <f>IF(AND($L518=$O$7,$B518&lt;'111'!$N$11),"x","")</f>
        <v/>
      </c>
      <c r="Q518" s="38" t="str">
        <f>IF(AND($M518=$O$7,$B518&lt;'111'!$N$11),"x","")</f>
        <v/>
      </c>
      <c r="R518" s="38" t="str">
        <f>IF(ISERROR(FIND('112'!$M$9,G518,1)),"",IF((AND(FIND('112'!$M$9,G518,1)&gt;=1,$B518&gt;='112'!$N$8,$B518&lt;='112'!$O$8,OR($L518='112'!$I$6,$M518='112'!$I$6))),"x",""))</f>
        <v/>
      </c>
      <c r="S518" s="38" t="str">
        <f>IF(ISERROR(FIND('112'!$M$9,G518,1)),"",IF((AND(LEFT(G518,2)=LEFT('112'!$M$9,2),B518&lt;'112'!$N$8,$L518='112'!$I$6)),"x",""))</f>
        <v/>
      </c>
      <c r="T518" s="38" t="str">
        <f>IF(ISERROR(FIND('112'!$M$9,G518,1)),"",IF((AND(RIGHT(G518,2)=RIGHT('112'!$M$9,2),B518&lt;'112'!$N$8,$M518='112'!$I$6)),"x",""))</f>
        <v/>
      </c>
      <c r="U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38" t="str">
        <f>IF(OR(TH!L518=TH!$V$7,M518=TH!$V$7),"x","")</f>
        <v/>
      </c>
      <c r="W518" s="38" t="str">
        <f>IF(AND(B518&gt;='IN-NX'!$P$3,B518&lt;='IN-NX'!$Q$3,'IN-NX'!$D$7=D518,OR(LEFT(L518,2)="15",AND(LEFT(M518,2)&lt;&gt;"15",LEFT(M518,2)&lt;&gt;"33"))),"x","")</f>
        <v/>
      </c>
      <c r="X518" s="38" t="str">
        <f>IF(AND(OR(LEFT(TH!L518,2)="15",LEFT(TH!M518,2)="15"),'152-CT'!$J$8=TH!F518),"x","")</f>
        <v/>
      </c>
      <c r="Y518" s="38" t="str">
        <f>IF(AND(OR(LEFT(TH!L518,2)="15",LEFT(TH!M518,2)="15"),TK!$E$7=TH!F518),"x","")</f>
        <v/>
      </c>
      <c r="Z518" s="38" t="str">
        <f>IF(AND(B518&lt;=NKC!$N$8,B518&gt;=NKC!$M$8),"x","")</f>
        <v/>
      </c>
      <c r="AA518" s="845"/>
      <c r="AB518" s="581"/>
    </row>
    <row r="519" spans="1:28" s="201" customFormat="1">
      <c r="A519" s="196"/>
      <c r="G519" s="855"/>
      <c r="H519" s="809"/>
      <c r="I519" s="809"/>
      <c r="J519" s="809"/>
    </row>
    <row r="520" spans="1:28" s="201" customFormat="1">
      <c r="A520" s="196"/>
      <c r="G520" s="855"/>
      <c r="H520" s="809"/>
      <c r="I520" s="809"/>
      <c r="J520" s="809"/>
      <c r="K520" s="856">
        <f>SUBTOTAL(9,K10:K518)</f>
        <v>3191637813</v>
      </c>
    </row>
  </sheetData>
  <autoFilter ref="A9:AD518"/>
  <sortState ref="A26:AD161">
    <sortCondition ref="C26:C161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611" customWidth="1"/>
    <col min="2" max="2" width="9.28515625" style="611" customWidth="1"/>
    <col min="3" max="3" width="10" style="611" customWidth="1"/>
    <col min="4" max="4" width="41.42578125" style="611" customWidth="1"/>
    <col min="5" max="5" width="6" style="611" customWidth="1"/>
    <col min="6" max="6" width="7.85546875" style="611" customWidth="1"/>
    <col min="7" max="7" width="8.5703125" style="611" customWidth="1"/>
    <col min="8" max="8" width="13.85546875" style="611" customWidth="1"/>
    <col min="9" max="9" width="14.140625" style="611" customWidth="1"/>
    <col min="10" max="11" width="9.140625" style="611"/>
    <col min="12" max="12" width="3.5703125" style="611" customWidth="1"/>
    <col min="13" max="256" width="9.140625" style="611"/>
    <col min="257" max="257" width="13" style="611" customWidth="1"/>
    <col min="258" max="258" width="9.140625" style="611"/>
    <col min="259" max="259" width="13" style="611" customWidth="1"/>
    <col min="260" max="260" width="29.7109375" style="611" customWidth="1"/>
    <col min="261" max="261" width="7.7109375" style="611" customWidth="1"/>
    <col min="262" max="262" width="6" style="611" customWidth="1"/>
    <col min="263" max="263" width="11.5703125" style="611" customWidth="1"/>
    <col min="264" max="264" width="13.42578125" style="611" customWidth="1"/>
    <col min="265" max="265" width="13.85546875" style="611" customWidth="1"/>
    <col min="266" max="512" width="9.140625" style="611"/>
    <col min="513" max="513" width="13" style="611" customWidth="1"/>
    <col min="514" max="514" width="9.140625" style="611"/>
    <col min="515" max="515" width="13" style="611" customWidth="1"/>
    <col min="516" max="516" width="29.7109375" style="611" customWidth="1"/>
    <col min="517" max="517" width="7.7109375" style="611" customWidth="1"/>
    <col min="518" max="518" width="6" style="611" customWidth="1"/>
    <col min="519" max="519" width="11.5703125" style="611" customWidth="1"/>
    <col min="520" max="520" width="13.42578125" style="611" customWidth="1"/>
    <col min="521" max="521" width="13.85546875" style="611" customWidth="1"/>
    <col min="522" max="768" width="9.140625" style="611"/>
    <col min="769" max="769" width="13" style="611" customWidth="1"/>
    <col min="770" max="770" width="9.140625" style="611"/>
    <col min="771" max="771" width="13" style="611" customWidth="1"/>
    <col min="772" max="772" width="29.7109375" style="611" customWidth="1"/>
    <col min="773" max="773" width="7.7109375" style="611" customWidth="1"/>
    <col min="774" max="774" width="6" style="611" customWidth="1"/>
    <col min="775" max="775" width="11.5703125" style="611" customWidth="1"/>
    <col min="776" max="776" width="13.42578125" style="611" customWidth="1"/>
    <col min="777" max="777" width="13.85546875" style="611" customWidth="1"/>
    <col min="778" max="1024" width="9.140625" style="611"/>
    <col min="1025" max="1025" width="13" style="611" customWidth="1"/>
    <col min="1026" max="1026" width="9.140625" style="611"/>
    <col min="1027" max="1027" width="13" style="611" customWidth="1"/>
    <col min="1028" max="1028" width="29.7109375" style="611" customWidth="1"/>
    <col min="1029" max="1029" width="7.7109375" style="611" customWidth="1"/>
    <col min="1030" max="1030" width="6" style="611" customWidth="1"/>
    <col min="1031" max="1031" width="11.5703125" style="611" customWidth="1"/>
    <col min="1032" max="1032" width="13.42578125" style="611" customWidth="1"/>
    <col min="1033" max="1033" width="13.85546875" style="611" customWidth="1"/>
    <col min="1034" max="1280" width="9.140625" style="611"/>
    <col min="1281" max="1281" width="13" style="611" customWidth="1"/>
    <col min="1282" max="1282" width="9.140625" style="611"/>
    <col min="1283" max="1283" width="13" style="611" customWidth="1"/>
    <col min="1284" max="1284" width="29.7109375" style="611" customWidth="1"/>
    <col min="1285" max="1285" width="7.7109375" style="611" customWidth="1"/>
    <col min="1286" max="1286" width="6" style="611" customWidth="1"/>
    <col min="1287" max="1287" width="11.5703125" style="611" customWidth="1"/>
    <col min="1288" max="1288" width="13.42578125" style="611" customWidth="1"/>
    <col min="1289" max="1289" width="13.85546875" style="611" customWidth="1"/>
    <col min="1290" max="1536" width="9.140625" style="611"/>
    <col min="1537" max="1537" width="13" style="611" customWidth="1"/>
    <col min="1538" max="1538" width="9.140625" style="611"/>
    <col min="1539" max="1539" width="13" style="611" customWidth="1"/>
    <col min="1540" max="1540" width="29.7109375" style="611" customWidth="1"/>
    <col min="1541" max="1541" width="7.7109375" style="611" customWidth="1"/>
    <col min="1542" max="1542" width="6" style="611" customWidth="1"/>
    <col min="1543" max="1543" width="11.5703125" style="611" customWidth="1"/>
    <col min="1544" max="1544" width="13.42578125" style="611" customWidth="1"/>
    <col min="1545" max="1545" width="13.85546875" style="611" customWidth="1"/>
    <col min="1546" max="1792" width="9.140625" style="611"/>
    <col min="1793" max="1793" width="13" style="611" customWidth="1"/>
    <col min="1794" max="1794" width="9.140625" style="611"/>
    <col min="1795" max="1795" width="13" style="611" customWidth="1"/>
    <col min="1796" max="1796" width="29.7109375" style="611" customWidth="1"/>
    <col min="1797" max="1797" width="7.7109375" style="611" customWidth="1"/>
    <col min="1798" max="1798" width="6" style="611" customWidth="1"/>
    <col min="1799" max="1799" width="11.5703125" style="611" customWidth="1"/>
    <col min="1800" max="1800" width="13.42578125" style="611" customWidth="1"/>
    <col min="1801" max="1801" width="13.85546875" style="611" customWidth="1"/>
    <col min="1802" max="2048" width="9.140625" style="611"/>
    <col min="2049" max="2049" width="13" style="611" customWidth="1"/>
    <col min="2050" max="2050" width="9.140625" style="611"/>
    <col min="2051" max="2051" width="13" style="611" customWidth="1"/>
    <col min="2052" max="2052" width="29.7109375" style="611" customWidth="1"/>
    <col min="2053" max="2053" width="7.7109375" style="611" customWidth="1"/>
    <col min="2054" max="2054" width="6" style="611" customWidth="1"/>
    <col min="2055" max="2055" width="11.5703125" style="611" customWidth="1"/>
    <col min="2056" max="2056" width="13.42578125" style="611" customWidth="1"/>
    <col min="2057" max="2057" width="13.85546875" style="611" customWidth="1"/>
    <col min="2058" max="2304" width="9.140625" style="611"/>
    <col min="2305" max="2305" width="13" style="611" customWidth="1"/>
    <col min="2306" max="2306" width="9.140625" style="611"/>
    <col min="2307" max="2307" width="13" style="611" customWidth="1"/>
    <col min="2308" max="2308" width="29.7109375" style="611" customWidth="1"/>
    <col min="2309" max="2309" width="7.7109375" style="611" customWidth="1"/>
    <col min="2310" max="2310" width="6" style="611" customWidth="1"/>
    <col min="2311" max="2311" width="11.5703125" style="611" customWidth="1"/>
    <col min="2312" max="2312" width="13.42578125" style="611" customWidth="1"/>
    <col min="2313" max="2313" width="13.85546875" style="611" customWidth="1"/>
    <col min="2314" max="2560" width="9.140625" style="611"/>
    <col min="2561" max="2561" width="13" style="611" customWidth="1"/>
    <col min="2562" max="2562" width="9.140625" style="611"/>
    <col min="2563" max="2563" width="13" style="611" customWidth="1"/>
    <col min="2564" max="2564" width="29.7109375" style="611" customWidth="1"/>
    <col min="2565" max="2565" width="7.7109375" style="611" customWidth="1"/>
    <col min="2566" max="2566" width="6" style="611" customWidth="1"/>
    <col min="2567" max="2567" width="11.5703125" style="611" customWidth="1"/>
    <col min="2568" max="2568" width="13.42578125" style="611" customWidth="1"/>
    <col min="2569" max="2569" width="13.85546875" style="611" customWidth="1"/>
    <col min="2570" max="2816" width="9.140625" style="611"/>
    <col min="2817" max="2817" width="13" style="611" customWidth="1"/>
    <col min="2818" max="2818" width="9.140625" style="611"/>
    <col min="2819" max="2819" width="13" style="611" customWidth="1"/>
    <col min="2820" max="2820" width="29.7109375" style="611" customWidth="1"/>
    <col min="2821" max="2821" width="7.7109375" style="611" customWidth="1"/>
    <col min="2822" max="2822" width="6" style="611" customWidth="1"/>
    <col min="2823" max="2823" width="11.5703125" style="611" customWidth="1"/>
    <col min="2824" max="2824" width="13.42578125" style="611" customWidth="1"/>
    <col min="2825" max="2825" width="13.85546875" style="611" customWidth="1"/>
    <col min="2826" max="3072" width="9.140625" style="611"/>
    <col min="3073" max="3073" width="13" style="611" customWidth="1"/>
    <col min="3074" max="3074" width="9.140625" style="611"/>
    <col min="3075" max="3075" width="13" style="611" customWidth="1"/>
    <col min="3076" max="3076" width="29.7109375" style="611" customWidth="1"/>
    <col min="3077" max="3077" width="7.7109375" style="611" customWidth="1"/>
    <col min="3078" max="3078" width="6" style="611" customWidth="1"/>
    <col min="3079" max="3079" width="11.5703125" style="611" customWidth="1"/>
    <col min="3080" max="3080" width="13.42578125" style="611" customWidth="1"/>
    <col min="3081" max="3081" width="13.85546875" style="611" customWidth="1"/>
    <col min="3082" max="3328" width="9.140625" style="611"/>
    <col min="3329" max="3329" width="13" style="611" customWidth="1"/>
    <col min="3330" max="3330" width="9.140625" style="611"/>
    <col min="3331" max="3331" width="13" style="611" customWidth="1"/>
    <col min="3332" max="3332" width="29.7109375" style="611" customWidth="1"/>
    <col min="3333" max="3333" width="7.7109375" style="611" customWidth="1"/>
    <col min="3334" max="3334" width="6" style="611" customWidth="1"/>
    <col min="3335" max="3335" width="11.5703125" style="611" customWidth="1"/>
    <col min="3336" max="3336" width="13.42578125" style="611" customWidth="1"/>
    <col min="3337" max="3337" width="13.85546875" style="611" customWidth="1"/>
    <col min="3338" max="3584" width="9.140625" style="611"/>
    <col min="3585" max="3585" width="13" style="611" customWidth="1"/>
    <col min="3586" max="3586" width="9.140625" style="611"/>
    <col min="3587" max="3587" width="13" style="611" customWidth="1"/>
    <col min="3588" max="3588" width="29.7109375" style="611" customWidth="1"/>
    <col min="3589" max="3589" width="7.7109375" style="611" customWidth="1"/>
    <col min="3590" max="3590" width="6" style="611" customWidth="1"/>
    <col min="3591" max="3591" width="11.5703125" style="611" customWidth="1"/>
    <col min="3592" max="3592" width="13.42578125" style="611" customWidth="1"/>
    <col min="3593" max="3593" width="13.85546875" style="611" customWidth="1"/>
    <col min="3594" max="3840" width="9.140625" style="611"/>
    <col min="3841" max="3841" width="13" style="611" customWidth="1"/>
    <col min="3842" max="3842" width="9.140625" style="611"/>
    <col min="3843" max="3843" width="13" style="611" customWidth="1"/>
    <col min="3844" max="3844" width="29.7109375" style="611" customWidth="1"/>
    <col min="3845" max="3845" width="7.7109375" style="611" customWidth="1"/>
    <col min="3846" max="3846" width="6" style="611" customWidth="1"/>
    <col min="3847" max="3847" width="11.5703125" style="611" customWidth="1"/>
    <col min="3848" max="3848" width="13.42578125" style="611" customWidth="1"/>
    <col min="3849" max="3849" width="13.85546875" style="611" customWidth="1"/>
    <col min="3850" max="4096" width="9.140625" style="611"/>
    <col min="4097" max="4097" width="13" style="611" customWidth="1"/>
    <col min="4098" max="4098" width="9.140625" style="611"/>
    <col min="4099" max="4099" width="13" style="611" customWidth="1"/>
    <col min="4100" max="4100" width="29.7109375" style="611" customWidth="1"/>
    <col min="4101" max="4101" width="7.7109375" style="611" customWidth="1"/>
    <col min="4102" max="4102" width="6" style="611" customWidth="1"/>
    <col min="4103" max="4103" width="11.5703125" style="611" customWidth="1"/>
    <col min="4104" max="4104" width="13.42578125" style="611" customWidth="1"/>
    <col min="4105" max="4105" width="13.85546875" style="611" customWidth="1"/>
    <col min="4106" max="4352" width="9.140625" style="611"/>
    <col min="4353" max="4353" width="13" style="611" customWidth="1"/>
    <col min="4354" max="4354" width="9.140625" style="611"/>
    <col min="4355" max="4355" width="13" style="611" customWidth="1"/>
    <col min="4356" max="4356" width="29.7109375" style="611" customWidth="1"/>
    <col min="4357" max="4357" width="7.7109375" style="611" customWidth="1"/>
    <col min="4358" max="4358" width="6" style="611" customWidth="1"/>
    <col min="4359" max="4359" width="11.5703125" style="611" customWidth="1"/>
    <col min="4360" max="4360" width="13.42578125" style="611" customWidth="1"/>
    <col min="4361" max="4361" width="13.85546875" style="611" customWidth="1"/>
    <col min="4362" max="4608" width="9.140625" style="611"/>
    <col min="4609" max="4609" width="13" style="611" customWidth="1"/>
    <col min="4610" max="4610" width="9.140625" style="611"/>
    <col min="4611" max="4611" width="13" style="611" customWidth="1"/>
    <col min="4612" max="4612" width="29.7109375" style="611" customWidth="1"/>
    <col min="4613" max="4613" width="7.7109375" style="611" customWidth="1"/>
    <col min="4614" max="4614" width="6" style="611" customWidth="1"/>
    <col min="4615" max="4615" width="11.5703125" style="611" customWidth="1"/>
    <col min="4616" max="4616" width="13.42578125" style="611" customWidth="1"/>
    <col min="4617" max="4617" width="13.85546875" style="611" customWidth="1"/>
    <col min="4618" max="4864" width="9.140625" style="611"/>
    <col min="4865" max="4865" width="13" style="611" customWidth="1"/>
    <col min="4866" max="4866" width="9.140625" style="611"/>
    <col min="4867" max="4867" width="13" style="611" customWidth="1"/>
    <col min="4868" max="4868" width="29.7109375" style="611" customWidth="1"/>
    <col min="4869" max="4869" width="7.7109375" style="611" customWidth="1"/>
    <col min="4870" max="4870" width="6" style="611" customWidth="1"/>
    <col min="4871" max="4871" width="11.5703125" style="611" customWidth="1"/>
    <col min="4872" max="4872" width="13.42578125" style="611" customWidth="1"/>
    <col min="4873" max="4873" width="13.85546875" style="611" customWidth="1"/>
    <col min="4874" max="5120" width="9.140625" style="611"/>
    <col min="5121" max="5121" width="13" style="611" customWidth="1"/>
    <col min="5122" max="5122" width="9.140625" style="611"/>
    <col min="5123" max="5123" width="13" style="611" customWidth="1"/>
    <col min="5124" max="5124" width="29.7109375" style="611" customWidth="1"/>
    <col min="5125" max="5125" width="7.7109375" style="611" customWidth="1"/>
    <col min="5126" max="5126" width="6" style="611" customWidth="1"/>
    <col min="5127" max="5127" width="11.5703125" style="611" customWidth="1"/>
    <col min="5128" max="5128" width="13.42578125" style="611" customWidth="1"/>
    <col min="5129" max="5129" width="13.85546875" style="611" customWidth="1"/>
    <col min="5130" max="5376" width="9.140625" style="611"/>
    <col min="5377" max="5377" width="13" style="611" customWidth="1"/>
    <col min="5378" max="5378" width="9.140625" style="611"/>
    <col min="5379" max="5379" width="13" style="611" customWidth="1"/>
    <col min="5380" max="5380" width="29.7109375" style="611" customWidth="1"/>
    <col min="5381" max="5381" width="7.7109375" style="611" customWidth="1"/>
    <col min="5382" max="5382" width="6" style="611" customWidth="1"/>
    <col min="5383" max="5383" width="11.5703125" style="611" customWidth="1"/>
    <col min="5384" max="5384" width="13.42578125" style="611" customWidth="1"/>
    <col min="5385" max="5385" width="13.85546875" style="611" customWidth="1"/>
    <col min="5386" max="5632" width="9.140625" style="611"/>
    <col min="5633" max="5633" width="13" style="611" customWidth="1"/>
    <col min="5634" max="5634" width="9.140625" style="611"/>
    <col min="5635" max="5635" width="13" style="611" customWidth="1"/>
    <col min="5636" max="5636" width="29.7109375" style="611" customWidth="1"/>
    <col min="5637" max="5637" width="7.7109375" style="611" customWidth="1"/>
    <col min="5638" max="5638" width="6" style="611" customWidth="1"/>
    <col min="5639" max="5639" width="11.5703125" style="611" customWidth="1"/>
    <col min="5640" max="5640" width="13.42578125" style="611" customWidth="1"/>
    <col min="5641" max="5641" width="13.85546875" style="611" customWidth="1"/>
    <col min="5642" max="5888" width="9.140625" style="611"/>
    <col min="5889" max="5889" width="13" style="611" customWidth="1"/>
    <col min="5890" max="5890" width="9.140625" style="611"/>
    <col min="5891" max="5891" width="13" style="611" customWidth="1"/>
    <col min="5892" max="5892" width="29.7109375" style="611" customWidth="1"/>
    <col min="5893" max="5893" width="7.7109375" style="611" customWidth="1"/>
    <col min="5894" max="5894" width="6" style="611" customWidth="1"/>
    <col min="5895" max="5895" width="11.5703125" style="611" customWidth="1"/>
    <col min="5896" max="5896" width="13.42578125" style="611" customWidth="1"/>
    <col min="5897" max="5897" width="13.85546875" style="611" customWidth="1"/>
    <col min="5898" max="6144" width="9.140625" style="611"/>
    <col min="6145" max="6145" width="13" style="611" customWidth="1"/>
    <col min="6146" max="6146" width="9.140625" style="611"/>
    <col min="6147" max="6147" width="13" style="611" customWidth="1"/>
    <col min="6148" max="6148" width="29.7109375" style="611" customWidth="1"/>
    <col min="6149" max="6149" width="7.7109375" style="611" customWidth="1"/>
    <col min="6150" max="6150" width="6" style="611" customWidth="1"/>
    <col min="6151" max="6151" width="11.5703125" style="611" customWidth="1"/>
    <col min="6152" max="6152" width="13.42578125" style="611" customWidth="1"/>
    <col min="6153" max="6153" width="13.85546875" style="611" customWidth="1"/>
    <col min="6154" max="6400" width="9.140625" style="611"/>
    <col min="6401" max="6401" width="13" style="611" customWidth="1"/>
    <col min="6402" max="6402" width="9.140625" style="611"/>
    <col min="6403" max="6403" width="13" style="611" customWidth="1"/>
    <col min="6404" max="6404" width="29.7109375" style="611" customWidth="1"/>
    <col min="6405" max="6405" width="7.7109375" style="611" customWidth="1"/>
    <col min="6406" max="6406" width="6" style="611" customWidth="1"/>
    <col min="6407" max="6407" width="11.5703125" style="611" customWidth="1"/>
    <col min="6408" max="6408" width="13.42578125" style="611" customWidth="1"/>
    <col min="6409" max="6409" width="13.85546875" style="611" customWidth="1"/>
    <col min="6410" max="6656" width="9.140625" style="611"/>
    <col min="6657" max="6657" width="13" style="611" customWidth="1"/>
    <col min="6658" max="6658" width="9.140625" style="611"/>
    <col min="6659" max="6659" width="13" style="611" customWidth="1"/>
    <col min="6660" max="6660" width="29.7109375" style="611" customWidth="1"/>
    <col min="6661" max="6661" width="7.7109375" style="611" customWidth="1"/>
    <col min="6662" max="6662" width="6" style="611" customWidth="1"/>
    <col min="6663" max="6663" width="11.5703125" style="611" customWidth="1"/>
    <col min="6664" max="6664" width="13.42578125" style="611" customWidth="1"/>
    <col min="6665" max="6665" width="13.85546875" style="611" customWidth="1"/>
    <col min="6666" max="6912" width="9.140625" style="611"/>
    <col min="6913" max="6913" width="13" style="611" customWidth="1"/>
    <col min="6914" max="6914" width="9.140625" style="611"/>
    <col min="6915" max="6915" width="13" style="611" customWidth="1"/>
    <col min="6916" max="6916" width="29.7109375" style="611" customWidth="1"/>
    <col min="6917" max="6917" width="7.7109375" style="611" customWidth="1"/>
    <col min="6918" max="6918" width="6" style="611" customWidth="1"/>
    <col min="6919" max="6919" width="11.5703125" style="611" customWidth="1"/>
    <col min="6920" max="6920" width="13.42578125" style="611" customWidth="1"/>
    <col min="6921" max="6921" width="13.85546875" style="611" customWidth="1"/>
    <col min="6922" max="7168" width="9.140625" style="611"/>
    <col min="7169" max="7169" width="13" style="611" customWidth="1"/>
    <col min="7170" max="7170" width="9.140625" style="611"/>
    <col min="7171" max="7171" width="13" style="611" customWidth="1"/>
    <col min="7172" max="7172" width="29.7109375" style="611" customWidth="1"/>
    <col min="7173" max="7173" width="7.7109375" style="611" customWidth="1"/>
    <col min="7174" max="7174" width="6" style="611" customWidth="1"/>
    <col min="7175" max="7175" width="11.5703125" style="611" customWidth="1"/>
    <col min="7176" max="7176" width="13.42578125" style="611" customWidth="1"/>
    <col min="7177" max="7177" width="13.85546875" style="611" customWidth="1"/>
    <col min="7178" max="7424" width="9.140625" style="611"/>
    <col min="7425" max="7425" width="13" style="611" customWidth="1"/>
    <col min="7426" max="7426" width="9.140625" style="611"/>
    <col min="7427" max="7427" width="13" style="611" customWidth="1"/>
    <col min="7428" max="7428" width="29.7109375" style="611" customWidth="1"/>
    <col min="7429" max="7429" width="7.7109375" style="611" customWidth="1"/>
    <col min="7430" max="7430" width="6" style="611" customWidth="1"/>
    <col min="7431" max="7431" width="11.5703125" style="611" customWidth="1"/>
    <col min="7432" max="7432" width="13.42578125" style="611" customWidth="1"/>
    <col min="7433" max="7433" width="13.85546875" style="611" customWidth="1"/>
    <col min="7434" max="7680" width="9.140625" style="611"/>
    <col min="7681" max="7681" width="13" style="611" customWidth="1"/>
    <col min="7682" max="7682" width="9.140625" style="611"/>
    <col min="7683" max="7683" width="13" style="611" customWidth="1"/>
    <col min="7684" max="7684" width="29.7109375" style="611" customWidth="1"/>
    <col min="7685" max="7685" width="7.7109375" style="611" customWidth="1"/>
    <col min="7686" max="7686" width="6" style="611" customWidth="1"/>
    <col min="7687" max="7687" width="11.5703125" style="611" customWidth="1"/>
    <col min="7688" max="7688" width="13.42578125" style="611" customWidth="1"/>
    <col min="7689" max="7689" width="13.85546875" style="611" customWidth="1"/>
    <col min="7690" max="7936" width="9.140625" style="611"/>
    <col min="7937" max="7937" width="13" style="611" customWidth="1"/>
    <col min="7938" max="7938" width="9.140625" style="611"/>
    <col min="7939" max="7939" width="13" style="611" customWidth="1"/>
    <col min="7940" max="7940" width="29.7109375" style="611" customWidth="1"/>
    <col min="7941" max="7941" width="7.7109375" style="611" customWidth="1"/>
    <col min="7942" max="7942" width="6" style="611" customWidth="1"/>
    <col min="7943" max="7943" width="11.5703125" style="611" customWidth="1"/>
    <col min="7944" max="7944" width="13.42578125" style="611" customWidth="1"/>
    <col min="7945" max="7945" width="13.85546875" style="611" customWidth="1"/>
    <col min="7946" max="8192" width="9.140625" style="611"/>
    <col min="8193" max="8193" width="13" style="611" customWidth="1"/>
    <col min="8194" max="8194" width="9.140625" style="611"/>
    <col min="8195" max="8195" width="13" style="611" customWidth="1"/>
    <col min="8196" max="8196" width="29.7109375" style="611" customWidth="1"/>
    <col min="8197" max="8197" width="7.7109375" style="611" customWidth="1"/>
    <col min="8198" max="8198" width="6" style="611" customWidth="1"/>
    <col min="8199" max="8199" width="11.5703125" style="611" customWidth="1"/>
    <col min="8200" max="8200" width="13.42578125" style="611" customWidth="1"/>
    <col min="8201" max="8201" width="13.85546875" style="611" customWidth="1"/>
    <col min="8202" max="8448" width="9.140625" style="611"/>
    <col min="8449" max="8449" width="13" style="611" customWidth="1"/>
    <col min="8450" max="8450" width="9.140625" style="611"/>
    <col min="8451" max="8451" width="13" style="611" customWidth="1"/>
    <col min="8452" max="8452" width="29.7109375" style="611" customWidth="1"/>
    <col min="8453" max="8453" width="7.7109375" style="611" customWidth="1"/>
    <col min="8454" max="8454" width="6" style="611" customWidth="1"/>
    <col min="8455" max="8455" width="11.5703125" style="611" customWidth="1"/>
    <col min="8456" max="8456" width="13.42578125" style="611" customWidth="1"/>
    <col min="8457" max="8457" width="13.85546875" style="611" customWidth="1"/>
    <col min="8458" max="8704" width="9.140625" style="611"/>
    <col min="8705" max="8705" width="13" style="611" customWidth="1"/>
    <col min="8706" max="8706" width="9.140625" style="611"/>
    <col min="8707" max="8707" width="13" style="611" customWidth="1"/>
    <col min="8708" max="8708" width="29.7109375" style="611" customWidth="1"/>
    <col min="8709" max="8709" width="7.7109375" style="611" customWidth="1"/>
    <col min="8710" max="8710" width="6" style="611" customWidth="1"/>
    <col min="8711" max="8711" width="11.5703125" style="611" customWidth="1"/>
    <col min="8712" max="8712" width="13.42578125" style="611" customWidth="1"/>
    <col min="8713" max="8713" width="13.85546875" style="611" customWidth="1"/>
    <col min="8714" max="8960" width="9.140625" style="611"/>
    <col min="8961" max="8961" width="13" style="611" customWidth="1"/>
    <col min="8962" max="8962" width="9.140625" style="611"/>
    <col min="8963" max="8963" width="13" style="611" customWidth="1"/>
    <col min="8964" max="8964" width="29.7109375" style="611" customWidth="1"/>
    <col min="8965" max="8965" width="7.7109375" style="611" customWidth="1"/>
    <col min="8966" max="8966" width="6" style="611" customWidth="1"/>
    <col min="8967" max="8967" width="11.5703125" style="611" customWidth="1"/>
    <col min="8968" max="8968" width="13.42578125" style="611" customWidth="1"/>
    <col min="8969" max="8969" width="13.85546875" style="611" customWidth="1"/>
    <col min="8970" max="9216" width="9.140625" style="611"/>
    <col min="9217" max="9217" width="13" style="611" customWidth="1"/>
    <col min="9218" max="9218" width="9.140625" style="611"/>
    <col min="9219" max="9219" width="13" style="611" customWidth="1"/>
    <col min="9220" max="9220" width="29.7109375" style="611" customWidth="1"/>
    <col min="9221" max="9221" width="7.7109375" style="611" customWidth="1"/>
    <col min="9222" max="9222" width="6" style="611" customWidth="1"/>
    <col min="9223" max="9223" width="11.5703125" style="611" customWidth="1"/>
    <col min="9224" max="9224" width="13.42578125" style="611" customWidth="1"/>
    <col min="9225" max="9225" width="13.85546875" style="611" customWidth="1"/>
    <col min="9226" max="9472" width="9.140625" style="611"/>
    <col min="9473" max="9473" width="13" style="611" customWidth="1"/>
    <col min="9474" max="9474" width="9.140625" style="611"/>
    <col min="9475" max="9475" width="13" style="611" customWidth="1"/>
    <col min="9476" max="9476" width="29.7109375" style="611" customWidth="1"/>
    <col min="9477" max="9477" width="7.7109375" style="611" customWidth="1"/>
    <col min="9478" max="9478" width="6" style="611" customWidth="1"/>
    <col min="9479" max="9479" width="11.5703125" style="611" customWidth="1"/>
    <col min="9480" max="9480" width="13.42578125" style="611" customWidth="1"/>
    <col min="9481" max="9481" width="13.85546875" style="611" customWidth="1"/>
    <col min="9482" max="9728" width="9.140625" style="611"/>
    <col min="9729" max="9729" width="13" style="611" customWidth="1"/>
    <col min="9730" max="9730" width="9.140625" style="611"/>
    <col min="9731" max="9731" width="13" style="611" customWidth="1"/>
    <col min="9732" max="9732" width="29.7109375" style="611" customWidth="1"/>
    <col min="9733" max="9733" width="7.7109375" style="611" customWidth="1"/>
    <col min="9734" max="9734" width="6" style="611" customWidth="1"/>
    <col min="9735" max="9735" width="11.5703125" style="611" customWidth="1"/>
    <col min="9736" max="9736" width="13.42578125" style="611" customWidth="1"/>
    <col min="9737" max="9737" width="13.85546875" style="611" customWidth="1"/>
    <col min="9738" max="9984" width="9.140625" style="611"/>
    <col min="9985" max="9985" width="13" style="611" customWidth="1"/>
    <col min="9986" max="9986" width="9.140625" style="611"/>
    <col min="9987" max="9987" width="13" style="611" customWidth="1"/>
    <col min="9988" max="9988" width="29.7109375" style="611" customWidth="1"/>
    <col min="9989" max="9989" width="7.7109375" style="611" customWidth="1"/>
    <col min="9990" max="9990" width="6" style="611" customWidth="1"/>
    <col min="9991" max="9991" width="11.5703125" style="611" customWidth="1"/>
    <col min="9992" max="9992" width="13.42578125" style="611" customWidth="1"/>
    <col min="9993" max="9993" width="13.85546875" style="611" customWidth="1"/>
    <col min="9994" max="10240" width="9.140625" style="611"/>
    <col min="10241" max="10241" width="13" style="611" customWidth="1"/>
    <col min="10242" max="10242" width="9.140625" style="611"/>
    <col min="10243" max="10243" width="13" style="611" customWidth="1"/>
    <col min="10244" max="10244" width="29.7109375" style="611" customWidth="1"/>
    <col min="10245" max="10245" width="7.7109375" style="611" customWidth="1"/>
    <col min="10246" max="10246" width="6" style="611" customWidth="1"/>
    <col min="10247" max="10247" width="11.5703125" style="611" customWidth="1"/>
    <col min="10248" max="10248" width="13.42578125" style="611" customWidth="1"/>
    <col min="10249" max="10249" width="13.85546875" style="611" customWidth="1"/>
    <col min="10250" max="10496" width="9.140625" style="611"/>
    <col min="10497" max="10497" width="13" style="611" customWidth="1"/>
    <col min="10498" max="10498" width="9.140625" style="611"/>
    <col min="10499" max="10499" width="13" style="611" customWidth="1"/>
    <col min="10500" max="10500" width="29.7109375" style="611" customWidth="1"/>
    <col min="10501" max="10501" width="7.7109375" style="611" customWidth="1"/>
    <col min="10502" max="10502" width="6" style="611" customWidth="1"/>
    <col min="10503" max="10503" width="11.5703125" style="611" customWidth="1"/>
    <col min="10504" max="10504" width="13.42578125" style="611" customWidth="1"/>
    <col min="10505" max="10505" width="13.85546875" style="611" customWidth="1"/>
    <col min="10506" max="10752" width="9.140625" style="611"/>
    <col min="10753" max="10753" width="13" style="611" customWidth="1"/>
    <col min="10754" max="10754" width="9.140625" style="611"/>
    <col min="10755" max="10755" width="13" style="611" customWidth="1"/>
    <col min="10756" max="10756" width="29.7109375" style="611" customWidth="1"/>
    <col min="10757" max="10757" width="7.7109375" style="611" customWidth="1"/>
    <col min="10758" max="10758" width="6" style="611" customWidth="1"/>
    <col min="10759" max="10759" width="11.5703125" style="611" customWidth="1"/>
    <col min="10760" max="10760" width="13.42578125" style="611" customWidth="1"/>
    <col min="10761" max="10761" width="13.85546875" style="611" customWidth="1"/>
    <col min="10762" max="11008" width="9.140625" style="611"/>
    <col min="11009" max="11009" width="13" style="611" customWidth="1"/>
    <col min="11010" max="11010" width="9.140625" style="611"/>
    <col min="11011" max="11011" width="13" style="611" customWidth="1"/>
    <col min="11012" max="11012" width="29.7109375" style="611" customWidth="1"/>
    <col min="11013" max="11013" width="7.7109375" style="611" customWidth="1"/>
    <col min="11014" max="11014" width="6" style="611" customWidth="1"/>
    <col min="11015" max="11015" width="11.5703125" style="611" customWidth="1"/>
    <col min="11016" max="11016" width="13.42578125" style="611" customWidth="1"/>
    <col min="11017" max="11017" width="13.85546875" style="611" customWidth="1"/>
    <col min="11018" max="11264" width="9.140625" style="611"/>
    <col min="11265" max="11265" width="13" style="611" customWidth="1"/>
    <col min="11266" max="11266" width="9.140625" style="611"/>
    <col min="11267" max="11267" width="13" style="611" customWidth="1"/>
    <col min="11268" max="11268" width="29.7109375" style="611" customWidth="1"/>
    <col min="11269" max="11269" width="7.7109375" style="611" customWidth="1"/>
    <col min="11270" max="11270" width="6" style="611" customWidth="1"/>
    <col min="11271" max="11271" width="11.5703125" style="611" customWidth="1"/>
    <col min="11272" max="11272" width="13.42578125" style="611" customWidth="1"/>
    <col min="11273" max="11273" width="13.85546875" style="611" customWidth="1"/>
    <col min="11274" max="11520" width="9.140625" style="611"/>
    <col min="11521" max="11521" width="13" style="611" customWidth="1"/>
    <col min="11522" max="11522" width="9.140625" style="611"/>
    <col min="11523" max="11523" width="13" style="611" customWidth="1"/>
    <col min="11524" max="11524" width="29.7109375" style="611" customWidth="1"/>
    <col min="11525" max="11525" width="7.7109375" style="611" customWidth="1"/>
    <col min="11526" max="11526" width="6" style="611" customWidth="1"/>
    <col min="11527" max="11527" width="11.5703125" style="611" customWidth="1"/>
    <col min="11528" max="11528" width="13.42578125" style="611" customWidth="1"/>
    <col min="11529" max="11529" width="13.85546875" style="611" customWidth="1"/>
    <col min="11530" max="11776" width="9.140625" style="611"/>
    <col min="11777" max="11777" width="13" style="611" customWidth="1"/>
    <col min="11778" max="11778" width="9.140625" style="611"/>
    <col min="11779" max="11779" width="13" style="611" customWidth="1"/>
    <col min="11780" max="11780" width="29.7109375" style="611" customWidth="1"/>
    <col min="11781" max="11781" width="7.7109375" style="611" customWidth="1"/>
    <col min="11782" max="11782" width="6" style="611" customWidth="1"/>
    <col min="11783" max="11783" width="11.5703125" style="611" customWidth="1"/>
    <col min="11784" max="11784" width="13.42578125" style="611" customWidth="1"/>
    <col min="11785" max="11785" width="13.85546875" style="611" customWidth="1"/>
    <col min="11786" max="12032" width="9.140625" style="611"/>
    <col min="12033" max="12033" width="13" style="611" customWidth="1"/>
    <col min="12034" max="12034" width="9.140625" style="611"/>
    <col min="12035" max="12035" width="13" style="611" customWidth="1"/>
    <col min="12036" max="12036" width="29.7109375" style="611" customWidth="1"/>
    <col min="12037" max="12037" width="7.7109375" style="611" customWidth="1"/>
    <col min="12038" max="12038" width="6" style="611" customWidth="1"/>
    <col min="12039" max="12039" width="11.5703125" style="611" customWidth="1"/>
    <col min="12040" max="12040" width="13.42578125" style="611" customWidth="1"/>
    <col min="12041" max="12041" width="13.85546875" style="611" customWidth="1"/>
    <col min="12042" max="12288" width="9.140625" style="611"/>
    <col min="12289" max="12289" width="13" style="611" customWidth="1"/>
    <col min="12290" max="12290" width="9.140625" style="611"/>
    <col min="12291" max="12291" width="13" style="611" customWidth="1"/>
    <col min="12292" max="12292" width="29.7109375" style="611" customWidth="1"/>
    <col min="12293" max="12293" width="7.7109375" style="611" customWidth="1"/>
    <col min="12294" max="12294" width="6" style="611" customWidth="1"/>
    <col min="12295" max="12295" width="11.5703125" style="611" customWidth="1"/>
    <col min="12296" max="12296" width="13.42578125" style="611" customWidth="1"/>
    <col min="12297" max="12297" width="13.85546875" style="611" customWidth="1"/>
    <col min="12298" max="12544" width="9.140625" style="611"/>
    <col min="12545" max="12545" width="13" style="611" customWidth="1"/>
    <col min="12546" max="12546" width="9.140625" style="611"/>
    <col min="12547" max="12547" width="13" style="611" customWidth="1"/>
    <col min="12548" max="12548" width="29.7109375" style="611" customWidth="1"/>
    <col min="12549" max="12549" width="7.7109375" style="611" customWidth="1"/>
    <col min="12550" max="12550" width="6" style="611" customWidth="1"/>
    <col min="12551" max="12551" width="11.5703125" style="611" customWidth="1"/>
    <col min="12552" max="12552" width="13.42578125" style="611" customWidth="1"/>
    <col min="12553" max="12553" width="13.85546875" style="611" customWidth="1"/>
    <col min="12554" max="12800" width="9.140625" style="611"/>
    <col min="12801" max="12801" width="13" style="611" customWidth="1"/>
    <col min="12802" max="12802" width="9.140625" style="611"/>
    <col min="12803" max="12803" width="13" style="611" customWidth="1"/>
    <col min="12804" max="12804" width="29.7109375" style="611" customWidth="1"/>
    <col min="12805" max="12805" width="7.7109375" style="611" customWidth="1"/>
    <col min="12806" max="12806" width="6" style="611" customWidth="1"/>
    <col min="12807" max="12807" width="11.5703125" style="611" customWidth="1"/>
    <col min="12808" max="12808" width="13.42578125" style="611" customWidth="1"/>
    <col min="12809" max="12809" width="13.85546875" style="611" customWidth="1"/>
    <col min="12810" max="13056" width="9.140625" style="611"/>
    <col min="13057" max="13057" width="13" style="611" customWidth="1"/>
    <col min="13058" max="13058" width="9.140625" style="611"/>
    <col min="13059" max="13059" width="13" style="611" customWidth="1"/>
    <col min="13060" max="13060" width="29.7109375" style="611" customWidth="1"/>
    <col min="13061" max="13061" width="7.7109375" style="611" customWidth="1"/>
    <col min="13062" max="13062" width="6" style="611" customWidth="1"/>
    <col min="13063" max="13063" width="11.5703125" style="611" customWidth="1"/>
    <col min="13064" max="13064" width="13.42578125" style="611" customWidth="1"/>
    <col min="13065" max="13065" width="13.85546875" style="611" customWidth="1"/>
    <col min="13066" max="13312" width="9.140625" style="611"/>
    <col min="13313" max="13313" width="13" style="611" customWidth="1"/>
    <col min="13314" max="13314" width="9.140625" style="611"/>
    <col min="13315" max="13315" width="13" style="611" customWidth="1"/>
    <col min="13316" max="13316" width="29.7109375" style="611" customWidth="1"/>
    <col min="13317" max="13317" width="7.7109375" style="611" customWidth="1"/>
    <col min="13318" max="13318" width="6" style="611" customWidth="1"/>
    <col min="13319" max="13319" width="11.5703125" style="611" customWidth="1"/>
    <col min="13320" max="13320" width="13.42578125" style="611" customWidth="1"/>
    <col min="13321" max="13321" width="13.85546875" style="611" customWidth="1"/>
    <col min="13322" max="13568" width="9.140625" style="611"/>
    <col min="13569" max="13569" width="13" style="611" customWidth="1"/>
    <col min="13570" max="13570" width="9.140625" style="611"/>
    <col min="13571" max="13571" width="13" style="611" customWidth="1"/>
    <col min="13572" max="13572" width="29.7109375" style="611" customWidth="1"/>
    <col min="13573" max="13573" width="7.7109375" style="611" customWidth="1"/>
    <col min="13574" max="13574" width="6" style="611" customWidth="1"/>
    <col min="13575" max="13575" width="11.5703125" style="611" customWidth="1"/>
    <col min="13576" max="13576" width="13.42578125" style="611" customWidth="1"/>
    <col min="13577" max="13577" width="13.85546875" style="611" customWidth="1"/>
    <col min="13578" max="13824" width="9.140625" style="611"/>
    <col min="13825" max="13825" width="13" style="611" customWidth="1"/>
    <col min="13826" max="13826" width="9.140625" style="611"/>
    <col min="13827" max="13827" width="13" style="611" customWidth="1"/>
    <col min="13828" max="13828" width="29.7109375" style="611" customWidth="1"/>
    <col min="13829" max="13829" width="7.7109375" style="611" customWidth="1"/>
    <col min="13830" max="13830" width="6" style="611" customWidth="1"/>
    <col min="13831" max="13831" width="11.5703125" style="611" customWidth="1"/>
    <col min="13832" max="13832" width="13.42578125" style="611" customWidth="1"/>
    <col min="13833" max="13833" width="13.85546875" style="611" customWidth="1"/>
    <col min="13834" max="14080" width="9.140625" style="611"/>
    <col min="14081" max="14081" width="13" style="611" customWidth="1"/>
    <col min="14082" max="14082" width="9.140625" style="611"/>
    <col min="14083" max="14083" width="13" style="611" customWidth="1"/>
    <col min="14084" max="14084" width="29.7109375" style="611" customWidth="1"/>
    <col min="14085" max="14085" width="7.7109375" style="611" customWidth="1"/>
    <col min="14086" max="14086" width="6" style="611" customWidth="1"/>
    <col min="14087" max="14087" width="11.5703125" style="611" customWidth="1"/>
    <col min="14088" max="14088" width="13.42578125" style="611" customWidth="1"/>
    <col min="14089" max="14089" width="13.85546875" style="611" customWidth="1"/>
    <col min="14090" max="14336" width="9.140625" style="611"/>
    <col min="14337" max="14337" width="13" style="611" customWidth="1"/>
    <col min="14338" max="14338" width="9.140625" style="611"/>
    <col min="14339" max="14339" width="13" style="611" customWidth="1"/>
    <col min="14340" max="14340" width="29.7109375" style="611" customWidth="1"/>
    <col min="14341" max="14341" width="7.7109375" style="611" customWidth="1"/>
    <col min="14342" max="14342" width="6" style="611" customWidth="1"/>
    <col min="14343" max="14343" width="11.5703125" style="611" customWidth="1"/>
    <col min="14344" max="14344" width="13.42578125" style="611" customWidth="1"/>
    <col min="14345" max="14345" width="13.85546875" style="611" customWidth="1"/>
    <col min="14346" max="14592" width="9.140625" style="611"/>
    <col min="14593" max="14593" width="13" style="611" customWidth="1"/>
    <col min="14594" max="14594" width="9.140625" style="611"/>
    <col min="14595" max="14595" width="13" style="611" customWidth="1"/>
    <col min="14596" max="14596" width="29.7109375" style="611" customWidth="1"/>
    <col min="14597" max="14597" width="7.7109375" style="611" customWidth="1"/>
    <col min="14598" max="14598" width="6" style="611" customWidth="1"/>
    <col min="14599" max="14599" width="11.5703125" style="611" customWidth="1"/>
    <col min="14600" max="14600" width="13.42578125" style="611" customWidth="1"/>
    <col min="14601" max="14601" width="13.85546875" style="611" customWidth="1"/>
    <col min="14602" max="14848" width="9.140625" style="611"/>
    <col min="14849" max="14849" width="13" style="611" customWidth="1"/>
    <col min="14850" max="14850" width="9.140625" style="611"/>
    <col min="14851" max="14851" width="13" style="611" customWidth="1"/>
    <col min="14852" max="14852" width="29.7109375" style="611" customWidth="1"/>
    <col min="14853" max="14853" width="7.7109375" style="611" customWidth="1"/>
    <col min="14854" max="14854" width="6" style="611" customWidth="1"/>
    <col min="14855" max="14855" width="11.5703125" style="611" customWidth="1"/>
    <col min="14856" max="14856" width="13.42578125" style="611" customWidth="1"/>
    <col min="14857" max="14857" width="13.85546875" style="611" customWidth="1"/>
    <col min="14858" max="15104" width="9.140625" style="611"/>
    <col min="15105" max="15105" width="13" style="611" customWidth="1"/>
    <col min="15106" max="15106" width="9.140625" style="611"/>
    <col min="15107" max="15107" width="13" style="611" customWidth="1"/>
    <col min="15108" max="15108" width="29.7109375" style="611" customWidth="1"/>
    <col min="15109" max="15109" width="7.7109375" style="611" customWidth="1"/>
    <col min="15110" max="15110" width="6" style="611" customWidth="1"/>
    <col min="15111" max="15111" width="11.5703125" style="611" customWidth="1"/>
    <col min="15112" max="15112" width="13.42578125" style="611" customWidth="1"/>
    <col min="15113" max="15113" width="13.85546875" style="611" customWidth="1"/>
    <col min="15114" max="15360" width="9.140625" style="611"/>
    <col min="15361" max="15361" width="13" style="611" customWidth="1"/>
    <col min="15362" max="15362" width="9.140625" style="611"/>
    <col min="15363" max="15363" width="13" style="611" customWidth="1"/>
    <col min="15364" max="15364" width="29.7109375" style="611" customWidth="1"/>
    <col min="15365" max="15365" width="7.7109375" style="611" customWidth="1"/>
    <col min="15366" max="15366" width="6" style="611" customWidth="1"/>
    <col min="15367" max="15367" width="11.5703125" style="611" customWidth="1"/>
    <col min="15368" max="15368" width="13.42578125" style="611" customWidth="1"/>
    <col min="15369" max="15369" width="13.85546875" style="611" customWidth="1"/>
    <col min="15370" max="15616" width="9.140625" style="611"/>
    <col min="15617" max="15617" width="13" style="611" customWidth="1"/>
    <col min="15618" max="15618" width="9.140625" style="611"/>
    <col min="15619" max="15619" width="13" style="611" customWidth="1"/>
    <col min="15620" max="15620" width="29.7109375" style="611" customWidth="1"/>
    <col min="15621" max="15621" width="7.7109375" style="611" customWidth="1"/>
    <col min="15622" max="15622" width="6" style="611" customWidth="1"/>
    <col min="15623" max="15623" width="11.5703125" style="611" customWidth="1"/>
    <col min="15624" max="15624" width="13.42578125" style="611" customWidth="1"/>
    <col min="15625" max="15625" width="13.85546875" style="611" customWidth="1"/>
    <col min="15626" max="15872" width="9.140625" style="611"/>
    <col min="15873" max="15873" width="13" style="611" customWidth="1"/>
    <col min="15874" max="15874" width="9.140625" style="611"/>
    <col min="15875" max="15875" width="13" style="611" customWidth="1"/>
    <col min="15876" max="15876" width="29.7109375" style="611" customWidth="1"/>
    <col min="15877" max="15877" width="7.7109375" style="611" customWidth="1"/>
    <col min="15878" max="15878" width="6" style="611" customWidth="1"/>
    <col min="15879" max="15879" width="11.5703125" style="611" customWidth="1"/>
    <col min="15880" max="15880" width="13.42578125" style="611" customWidth="1"/>
    <col min="15881" max="15881" width="13.85546875" style="611" customWidth="1"/>
    <col min="15882" max="16128" width="9.140625" style="611"/>
    <col min="16129" max="16129" width="13" style="611" customWidth="1"/>
    <col min="16130" max="16130" width="9.140625" style="611"/>
    <col min="16131" max="16131" width="13" style="611" customWidth="1"/>
    <col min="16132" max="16132" width="29.7109375" style="611" customWidth="1"/>
    <col min="16133" max="16133" width="7.7109375" style="611" customWidth="1"/>
    <col min="16134" max="16134" width="6" style="611" customWidth="1"/>
    <col min="16135" max="16135" width="11.5703125" style="611" customWidth="1"/>
    <col min="16136" max="16136" width="13.42578125" style="611" customWidth="1"/>
    <col min="16137" max="16137" width="13.85546875" style="611" customWidth="1"/>
    <col min="16138" max="16384" width="9.140625" style="611"/>
  </cols>
  <sheetData>
    <row r="1" spans="1:14">
      <c r="A1" s="610" t="str">
        <f>TH!A1</f>
        <v>Đơn vị: CÔNG TY TNHH MỘT THÀNH VIÊN KHỞI NGUYÊN AN</v>
      </c>
      <c r="F1" s="891" t="s">
        <v>354</v>
      </c>
      <c r="G1" s="891"/>
      <c r="H1" s="891"/>
      <c r="I1" s="891"/>
    </row>
    <row r="2" spans="1:14">
      <c r="A2" s="611" t="str">
        <f>TH!A2</f>
        <v>Địa chỉ: Thửa đất số 144, tờ bản đồ số 12TĐH.1, tổ 1, khu phố Đông Tác, Phường Tân Đông Hiệp, Thị Xã Dĩ An, Tỉnh Bình Dương, Việt Nam</v>
      </c>
      <c r="F2" s="890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90"/>
      <c r="H2" s="890"/>
      <c r="I2" s="890"/>
    </row>
    <row r="3" spans="1:14">
      <c r="F3" s="890"/>
      <c r="G3" s="890"/>
      <c r="H3" s="890"/>
      <c r="I3" s="890"/>
    </row>
    <row r="4" spans="1:14">
      <c r="H4" s="612"/>
      <c r="I4" s="612"/>
    </row>
    <row r="5" spans="1:14" ht="26.25" customHeight="1">
      <c r="B5" s="613"/>
      <c r="C5" s="613"/>
      <c r="D5" s="614" t="s">
        <v>355</v>
      </c>
      <c r="E5" s="613"/>
      <c r="F5" s="613"/>
      <c r="G5" s="613"/>
      <c r="H5" s="613"/>
      <c r="I5" s="613"/>
      <c r="J5" s="613"/>
      <c r="K5" s="613"/>
    </row>
    <row r="6" spans="1:14">
      <c r="B6" s="615"/>
      <c r="C6" s="615"/>
      <c r="D6" s="616" t="str">
        <f ca="1">$K$9&amp;"   -   Năm:  " &amp;YEAR(A11)</f>
        <v>Quý III   -   Năm:  2012</v>
      </c>
      <c r="E6" s="615"/>
      <c r="F6" s="615"/>
      <c r="G6" s="615"/>
      <c r="H6" s="615"/>
      <c r="I6" s="615"/>
      <c r="J6" s="615"/>
      <c r="K6" s="615"/>
    </row>
    <row r="7" spans="1:14">
      <c r="A7" s="617"/>
      <c r="B7" s="617"/>
      <c r="C7" s="617"/>
      <c r="D7" s="617"/>
      <c r="E7" s="617"/>
      <c r="F7" s="617"/>
      <c r="G7" s="617"/>
      <c r="H7" s="894" t="s">
        <v>123</v>
      </c>
      <c r="I7" s="894"/>
      <c r="J7" s="617"/>
      <c r="K7" s="617"/>
      <c r="M7" s="893" t="s">
        <v>346</v>
      </c>
      <c r="N7" s="893"/>
    </row>
    <row r="8" spans="1:14" s="818" customFormat="1" ht="23.25" customHeight="1" thickBot="1">
      <c r="A8" s="895" t="s">
        <v>356</v>
      </c>
      <c r="B8" s="897" t="s">
        <v>1</v>
      </c>
      <c r="C8" s="898"/>
      <c r="D8" s="899" t="s">
        <v>0</v>
      </c>
      <c r="E8" s="895" t="s">
        <v>357</v>
      </c>
      <c r="F8" s="892" t="s">
        <v>94</v>
      </c>
      <c r="G8" s="892"/>
      <c r="H8" s="897" t="s">
        <v>21</v>
      </c>
      <c r="I8" s="898"/>
      <c r="J8" s="817"/>
      <c r="K8" s="817"/>
      <c r="M8" s="819">
        <f>IF(K9="Quý I",1,IF(K9="Quý II",4,IF(K9="Quý III",7,IF(K9="Quý IV",10,""))))</f>
        <v>7</v>
      </c>
      <c r="N8" s="819">
        <f>IF(K9="Quý I",3,IF(K9="Quý II",6,IF(K9="Quý III",9,IF(K9="Quý IV",12,""))))</f>
        <v>9</v>
      </c>
    </row>
    <row r="9" spans="1:14" s="818" customFormat="1" ht="28.5" customHeight="1" thickBot="1">
      <c r="A9" s="896"/>
      <c r="B9" s="820" t="s">
        <v>15</v>
      </c>
      <c r="C9" s="820" t="s">
        <v>32</v>
      </c>
      <c r="D9" s="900"/>
      <c r="E9" s="896"/>
      <c r="F9" s="821" t="s">
        <v>22</v>
      </c>
      <c r="G9" s="821" t="s">
        <v>23</v>
      </c>
      <c r="H9" s="820" t="s">
        <v>358</v>
      </c>
      <c r="I9" s="820" t="s">
        <v>23</v>
      </c>
      <c r="K9" s="717" t="s">
        <v>577</v>
      </c>
    </row>
    <row r="10" spans="1:14" s="818" customFormat="1" ht="21" customHeight="1">
      <c r="A10" s="822"/>
      <c r="B10" s="822"/>
      <c r="C10" s="822"/>
      <c r="D10" s="823" t="s">
        <v>361</v>
      </c>
      <c r="E10" s="824"/>
      <c r="F10" s="822"/>
      <c r="G10" s="822"/>
      <c r="H10" s="825">
        <f>SUMIF(_M,"&lt;"&amp;$M$8,TH)</f>
        <v>0</v>
      </c>
      <c r="I10" s="825">
        <f>SUMIF(_M,"&lt;"&amp;$M$8,TH)</f>
        <v>0</v>
      </c>
    </row>
    <row r="11" spans="1:14" s="818" customFormat="1" ht="21" customHeight="1">
      <c r="A11" s="826">
        <f ca="1">IF(ROWS($1:1)&gt;COUNT(Dong6),"",OFFSET(TH!C$1,SMALL(Dong6,ROWS($1:1)),))</f>
        <v>41122</v>
      </c>
      <c r="B11" s="827" t="str">
        <f ca="1">IF(ROWS($1:1)&gt;COUNT(Dong6),"",OFFSET(TH!D$1,SMALL(Dong6,ROWS($1:1)),))</f>
        <v>T01</v>
      </c>
      <c r="C11" s="826">
        <f ca="1">IF(ROWS($1:1)&gt;COUNT(Dong6),"",OFFSET(TH!E$1,SMALL(Dong6,ROWS($1:1)),))</f>
        <v>41122</v>
      </c>
      <c r="D11" s="828" t="str">
        <f ca="1">IF(ROWS($1:1)&gt;COUNT(Dong6),"",OFFSET(TH!F$1,SMALL(Dong6,ROWS($1:1)),))</f>
        <v>Thu vốn góp</v>
      </c>
      <c r="E11" s="827">
        <f t="shared" ref="E11:E40" ca="1" si="0">IF(D11&lt;&gt;"",ROW()-10,"")</f>
        <v>1</v>
      </c>
      <c r="F11" s="829" t="str">
        <f ca="1">IF(ROWS($1:1)&gt;COUNT(Dong6),"",OFFSET(TH!L$1,SMALL(Dong6,ROWS($1:1)),))</f>
        <v>1111</v>
      </c>
      <c r="G11" s="829" t="str">
        <f ca="1">IF(ROWS($1:1)&gt;COUNT(Dong6),"",OFFSET(TH!M$1,SMALL(Dong6,ROWS($1:1)),))</f>
        <v>4111</v>
      </c>
      <c r="H11" s="702">
        <f ca="1">IF(ROWS($1:1)&gt;COUNT(Dong6),"",OFFSET(TH!K$1,SMALL(Dong6,ROWS($1:1)),))</f>
        <v>2500000000</v>
      </c>
      <c r="I11" s="702">
        <f ca="1">IF(ROWS($1:1)&gt;COUNT(Dong6),"",OFFSET(TH!K$1,SMALL(Dong6,ROWS($1:1)),))</f>
        <v>2500000000</v>
      </c>
    </row>
    <row r="12" spans="1:14" s="818" customFormat="1" ht="21" customHeight="1">
      <c r="A12" s="826">
        <f ca="1">IF(ROWS($1:2)&gt;COUNT(Dong6),"",OFFSET(TH!C$1,SMALL(Dong6,ROWS($1:2)),))</f>
        <v>41131</v>
      </c>
      <c r="B12" s="827" t="str">
        <f ca="1">IF(ROWS($1:2)&gt;COUNT(Dong6),"",OFFSET(TH!D$1,SMALL(Dong6,ROWS($1:2)),))</f>
        <v>C01</v>
      </c>
      <c r="C12" s="826">
        <f ca="1">IF(ROWS($1:2)&gt;COUNT(Dong6),"",OFFSET(TH!E$1,SMALL(Dong6,ROWS($1:2)),))</f>
        <v>41131</v>
      </c>
      <c r="D12" s="828" t="str">
        <f ca="1">IF(ROWS($1:2)&gt;COUNT(Dong6),"",OFFSET(TH!F$1,SMALL(Dong6,ROWS($1:2)),))</f>
        <v>Nộp tiền mặt vào tài khoản</v>
      </c>
      <c r="E12" s="827">
        <f t="shared" ca="1" si="0"/>
        <v>2</v>
      </c>
      <c r="F12" s="829" t="str">
        <f ca="1">IF(ROWS($1:2)&gt;COUNT(Dong6),"",OFFSET(TH!L$1,SMALL(Dong6,ROWS($1:2)),))</f>
        <v>1121</v>
      </c>
      <c r="G12" s="829" t="str">
        <f ca="1">IF(ROWS($1:2)&gt;COUNT(Dong6),"",OFFSET(TH!M$1,SMALL(Dong6,ROWS($1:2)),))</f>
        <v>1111</v>
      </c>
      <c r="H12" s="702">
        <f ca="1">IF(ROWS($1:2)&gt;COUNT(Dong6),"",OFFSET(TH!K$1,SMALL(Dong6,ROWS($1:2)),))</f>
        <v>1000000</v>
      </c>
      <c r="I12" s="702">
        <f ca="1">IF(ROWS($1:2)&gt;COUNT(Dong6),"",OFFSET(TH!K$1,SMALL(Dong6,ROWS($1:2)),))</f>
        <v>1000000</v>
      </c>
    </row>
    <row r="13" spans="1:14" s="818" customFormat="1" ht="21" customHeight="1">
      <c r="A13" s="826">
        <f ca="1">IF(ROWS($1:3)&gt;COUNT(Dong6),"",OFFSET(TH!C$1,SMALL(Dong6,ROWS($1:3)),))</f>
        <v>41136</v>
      </c>
      <c r="B13" s="827" t="str">
        <f ca="1">IF(ROWS($1:3)&gt;COUNT(Dong6),"",OFFSET(TH!D$1,SMALL(Dong6,ROWS($1:3)),))</f>
        <v>C02</v>
      </c>
      <c r="C13" s="826">
        <f ca="1">IF(ROWS($1:3)&gt;COUNT(Dong6),"",OFFSET(TH!E$1,SMALL(Dong6,ROWS($1:3)),))</f>
        <v>41136</v>
      </c>
      <c r="D13" s="828" t="str">
        <f ca="1">IF(ROWS($1:3)&gt;COUNT(Dong6),"",OFFSET(TH!F$1,SMALL(Dong6,ROWS($1:3)),))</f>
        <v>Dây mạ kẽm</v>
      </c>
      <c r="E13" s="827">
        <f t="shared" ca="1" si="0"/>
        <v>3</v>
      </c>
      <c r="F13" s="829" t="str">
        <f ca="1">IF(ROWS($1:3)&gt;COUNT(Dong6),"",OFFSET(TH!L$1,SMALL(Dong6,ROWS($1:3)),))</f>
        <v>154</v>
      </c>
      <c r="G13" s="829" t="str">
        <f ca="1">IF(ROWS($1:3)&gt;COUNT(Dong6),"",OFFSET(TH!M$1,SMALL(Dong6,ROWS($1:3)),))</f>
        <v>1111</v>
      </c>
      <c r="H13" s="702">
        <f ca="1">IF(ROWS($1:3)&gt;COUNT(Dong6),"",OFFSET(TH!K$1,SMALL(Dong6,ROWS($1:3)),))</f>
        <v>2580000</v>
      </c>
      <c r="I13" s="702">
        <f ca="1">IF(ROWS($1:3)&gt;COUNT(Dong6),"",OFFSET(TH!K$1,SMALL(Dong6,ROWS($1:3)),))</f>
        <v>2580000</v>
      </c>
    </row>
    <row r="14" spans="1:14" s="818" customFormat="1" ht="21" customHeight="1">
      <c r="A14" s="826">
        <f ca="1">IF(ROWS($1:4)&gt;COUNT(Dong6),"",OFFSET(TH!C$1,SMALL(Dong6,ROWS($1:4)),))</f>
        <v>41136</v>
      </c>
      <c r="B14" s="827" t="str">
        <f ca="1">IF(ROWS($1:4)&gt;COUNT(Dong6),"",OFFSET(TH!D$1,SMALL(Dong6,ROWS($1:4)),))</f>
        <v>C02</v>
      </c>
      <c r="C14" s="826">
        <f ca="1">IF(ROWS($1:4)&gt;COUNT(Dong6),"",OFFSET(TH!E$1,SMALL(Dong6,ROWS($1:4)),))</f>
        <v>41136</v>
      </c>
      <c r="D14" s="828" t="str">
        <f ca="1">IF(ROWS($1:4)&gt;COUNT(Dong6),"",OFFSET(TH!F$1,SMALL(Dong6,ROWS($1:4)),))</f>
        <v>VAT Dây mạ kẽm</v>
      </c>
      <c r="E14" s="827">
        <f t="shared" ca="1" si="0"/>
        <v>4</v>
      </c>
      <c r="F14" s="829" t="str">
        <f ca="1">IF(ROWS($1:4)&gt;COUNT(Dong6),"",OFFSET(TH!L$1,SMALL(Dong6,ROWS($1:4)),))</f>
        <v>1331</v>
      </c>
      <c r="G14" s="829" t="str">
        <f ca="1">IF(ROWS($1:4)&gt;COUNT(Dong6),"",OFFSET(TH!M$1,SMALL(Dong6,ROWS($1:4)),))</f>
        <v>1111</v>
      </c>
      <c r="H14" s="702">
        <f ca="1">IF(ROWS($1:4)&gt;COUNT(Dong6),"",OFFSET(TH!K$1,SMALL(Dong6,ROWS($1:4)),))</f>
        <v>258000</v>
      </c>
      <c r="I14" s="702">
        <f ca="1">IF(ROWS($1:4)&gt;COUNT(Dong6),"",OFFSET(TH!K$1,SMALL(Dong6,ROWS($1:4)),))</f>
        <v>258000</v>
      </c>
    </row>
    <row r="15" spans="1:14" s="818" customFormat="1" ht="21" customHeight="1">
      <c r="A15" s="826">
        <f ca="1">IF(ROWS($1:5)&gt;COUNT(Dong6),"",OFFSET(TH!C$1,SMALL(Dong6,ROWS($1:5)),))</f>
        <v>41142</v>
      </c>
      <c r="B15" s="827" t="str">
        <f ca="1">IF(ROWS($1:5)&gt;COUNT(Dong6),"",OFFSET(TH!D$1,SMALL(Dong6,ROWS($1:5)),))</f>
        <v>C03</v>
      </c>
      <c r="C15" s="826">
        <f ca="1">IF(ROWS($1:5)&gt;COUNT(Dong6),"",OFFSET(TH!E$1,SMALL(Dong6,ROWS($1:5)),))</f>
        <v>41142</v>
      </c>
      <c r="D15" s="828" t="str">
        <f ca="1">IF(ROWS($1:5)&gt;COUNT(Dong6),"",OFFSET(TH!F$1,SMALL(Dong6,ROWS($1:5)),))</f>
        <v>Tiền đặt in hóa đơn</v>
      </c>
      <c r="E15" s="827">
        <f t="shared" ca="1" si="0"/>
        <v>5</v>
      </c>
      <c r="F15" s="829" t="str">
        <f ca="1">IF(ROWS($1:5)&gt;COUNT(Dong6),"",OFFSET(TH!L$1,SMALL(Dong6,ROWS($1:5)),))</f>
        <v>642</v>
      </c>
      <c r="G15" s="829" t="str">
        <f ca="1">IF(ROWS($1:5)&gt;COUNT(Dong6),"",OFFSET(TH!M$1,SMALL(Dong6,ROWS($1:5)),))</f>
        <v>1111</v>
      </c>
      <c r="H15" s="702">
        <f ca="1">IF(ROWS($1:5)&gt;COUNT(Dong6),"",OFFSET(TH!K$1,SMALL(Dong6,ROWS($1:5)),))</f>
        <v>3400000</v>
      </c>
      <c r="I15" s="702">
        <f ca="1">IF(ROWS($1:5)&gt;COUNT(Dong6),"",OFFSET(TH!K$1,SMALL(Dong6,ROWS($1:5)),))</f>
        <v>3400000</v>
      </c>
    </row>
    <row r="16" spans="1:14" s="818" customFormat="1" ht="21" customHeight="1">
      <c r="A16" s="826">
        <f ca="1">IF(ROWS($1:6)&gt;COUNT(Dong6),"",OFFSET(TH!C$1,SMALL(Dong6,ROWS($1:6)),))</f>
        <v>41142</v>
      </c>
      <c r="B16" s="827" t="str">
        <f ca="1">IF(ROWS($1:6)&gt;COUNT(Dong6),"",OFFSET(TH!D$1,SMALL(Dong6,ROWS($1:6)),))</f>
        <v>C03</v>
      </c>
      <c r="C16" s="826">
        <f ca="1">IF(ROWS($1:6)&gt;COUNT(Dong6),"",OFFSET(TH!E$1,SMALL(Dong6,ROWS($1:6)),))</f>
        <v>41142</v>
      </c>
      <c r="D16" s="828" t="str">
        <f ca="1">IF(ROWS($1:6)&gt;COUNT(Dong6),"",OFFSET(TH!F$1,SMALL(Dong6,ROWS($1:6)),))</f>
        <v>VAT Tiền đặt in hóa đơn</v>
      </c>
      <c r="E16" s="827">
        <f t="shared" ca="1" si="0"/>
        <v>6</v>
      </c>
      <c r="F16" s="829" t="str">
        <f ca="1">IF(ROWS($1:6)&gt;COUNT(Dong6),"",OFFSET(TH!L$1,SMALL(Dong6,ROWS($1:6)),))</f>
        <v>1331</v>
      </c>
      <c r="G16" s="829" t="str">
        <f ca="1">IF(ROWS($1:6)&gt;COUNT(Dong6),"",OFFSET(TH!M$1,SMALL(Dong6,ROWS($1:6)),))</f>
        <v>1111</v>
      </c>
      <c r="H16" s="702">
        <f ca="1">IF(ROWS($1:6)&gt;COUNT(Dong6),"",OFFSET(TH!K$1,SMALL(Dong6,ROWS($1:6)),))</f>
        <v>340000</v>
      </c>
      <c r="I16" s="702">
        <f ca="1">IF(ROWS($1:6)&gt;COUNT(Dong6),"",OFFSET(TH!K$1,SMALL(Dong6,ROWS($1:6)),))</f>
        <v>340000</v>
      </c>
    </row>
    <row r="17" spans="1:9" s="818" customFormat="1" ht="21" customHeight="1">
      <c r="A17" s="826">
        <f ca="1">IF(ROWS($1:7)&gt;COUNT(Dong6),"",OFFSET(TH!C$1,SMALL(Dong6,ROWS($1:7)),))</f>
        <v>41146</v>
      </c>
      <c r="B17" s="827" t="str">
        <f ca="1">IF(ROWS($1:7)&gt;COUNT(Dong6),"",OFFSET(TH!D$1,SMALL(Dong6,ROWS($1:7)),))</f>
        <v>GBN</v>
      </c>
      <c r="C17" s="826">
        <f ca="1">IF(ROWS($1:7)&gt;COUNT(Dong6),"",OFFSET(TH!E$1,SMALL(Dong6,ROWS($1:7)),))</f>
        <v>41146</v>
      </c>
      <c r="D17" s="828" t="str">
        <f ca="1">IF(ROWS($1:7)&gt;COUNT(Dong6),"",OFFSET(TH!F$1,SMALL(Dong6,ROWS($1:7)),))</f>
        <v>Thu phí quản lý tài khoản</v>
      </c>
      <c r="E17" s="827">
        <f t="shared" ca="1" si="0"/>
        <v>7</v>
      </c>
      <c r="F17" s="829" t="str">
        <f ca="1">IF(ROWS($1:7)&gt;COUNT(Dong6),"",OFFSET(TH!L$1,SMALL(Dong6,ROWS($1:7)),))</f>
        <v>642</v>
      </c>
      <c r="G17" s="829" t="str">
        <f ca="1">IF(ROWS($1:7)&gt;COUNT(Dong6),"",OFFSET(TH!M$1,SMALL(Dong6,ROWS($1:7)),))</f>
        <v>1121</v>
      </c>
      <c r="H17" s="702">
        <f ca="1">IF(ROWS($1:7)&gt;COUNT(Dong6),"",OFFSET(TH!K$1,SMALL(Dong6,ROWS($1:7)),))</f>
        <v>11000</v>
      </c>
      <c r="I17" s="702">
        <f ca="1">IF(ROWS($1:7)&gt;COUNT(Dong6),"",OFFSET(TH!K$1,SMALL(Dong6,ROWS($1:7)),))</f>
        <v>11000</v>
      </c>
    </row>
    <row r="18" spans="1:9" s="818" customFormat="1" ht="21" customHeight="1">
      <c r="A18" s="826">
        <f ca="1">IF(ROWS($1:8)&gt;COUNT(Dong6),"",OFFSET(TH!C$1,SMALL(Dong6,ROWS($1:8)),))</f>
        <v>41153</v>
      </c>
      <c r="B18" s="827" t="str">
        <f ca="1">IF(ROWS($1:8)&gt;COUNT(Dong6),"",OFFSET(TH!D$1,SMALL(Dong6,ROWS($1:8)),))</f>
        <v>N01</v>
      </c>
      <c r="C18" s="826">
        <f ca="1">IF(ROWS($1:8)&gt;COUNT(Dong6),"",OFFSET(TH!E$1,SMALL(Dong6,ROWS($1:8)),))</f>
        <v>41153</v>
      </c>
      <c r="D18" s="828" t="str">
        <f ca="1">IF(ROWS($1:8)&gt;COUNT(Dong6),"",OFFSET(TH!F$1,SMALL(Dong6,ROWS($1:8)),))</f>
        <v>Giấy tấm 1N +2X (110x162)</v>
      </c>
      <c r="E18" s="827">
        <f t="shared" ca="1" si="0"/>
        <v>8</v>
      </c>
      <c r="F18" s="829" t="str">
        <f ca="1">IF(ROWS($1:8)&gt;COUNT(Dong6),"",OFFSET(TH!L$1,SMALL(Dong6,ROWS($1:8)),))</f>
        <v>156</v>
      </c>
      <c r="G18" s="829" t="str">
        <f ca="1">IF(ROWS($1:8)&gt;COUNT(Dong6),"",OFFSET(TH!M$1,SMALL(Dong6,ROWS($1:8)),))</f>
        <v>331</v>
      </c>
      <c r="H18" s="702">
        <f ca="1">IF(ROWS($1:8)&gt;COUNT(Dong6),"",OFFSET(TH!K$1,SMALL(Dong6,ROWS($1:8)),))</f>
        <v>6628800</v>
      </c>
      <c r="I18" s="702">
        <f ca="1">IF(ROWS($1:8)&gt;COUNT(Dong6),"",OFFSET(TH!K$1,SMALL(Dong6,ROWS($1:8)),))</f>
        <v>6628800</v>
      </c>
    </row>
    <row r="19" spans="1:9" s="818" customFormat="1" ht="21" customHeight="1">
      <c r="A19" s="826">
        <f ca="1">IF(ROWS($1:9)&gt;COUNT(Dong6),"",OFFSET(TH!C$1,SMALL(Dong6,ROWS($1:9)),))</f>
        <v>41153</v>
      </c>
      <c r="B19" s="827" t="str">
        <f ca="1">IF(ROWS($1:9)&gt;COUNT(Dong6),"",OFFSET(TH!D$1,SMALL(Dong6,ROWS($1:9)),))</f>
        <v>N01</v>
      </c>
      <c r="C19" s="826">
        <f ca="1">IF(ROWS($1:9)&gt;COUNT(Dong6),"",OFFSET(TH!E$1,SMALL(Dong6,ROWS($1:9)),))</f>
        <v>41153</v>
      </c>
      <c r="D19" s="828" t="str">
        <f ca="1">IF(ROWS($1:9)&gt;COUNT(Dong6),"",OFFSET(TH!F$1,SMALL(Dong6,ROWS($1:9)),))</f>
        <v>Giấy tấm 1N +2X (110x159)</v>
      </c>
      <c r="E19" s="827">
        <f t="shared" ca="1" si="0"/>
        <v>9</v>
      </c>
      <c r="F19" s="829" t="str">
        <f ca="1">IF(ROWS($1:9)&gt;COUNT(Dong6),"",OFFSET(TH!L$1,SMALL(Dong6,ROWS($1:9)),))</f>
        <v>156</v>
      </c>
      <c r="G19" s="829" t="str">
        <f ca="1">IF(ROWS($1:9)&gt;COUNT(Dong6),"",OFFSET(TH!M$1,SMALL(Dong6,ROWS($1:9)),))</f>
        <v>331</v>
      </c>
      <c r="H19" s="702">
        <f ca="1">IF(ROWS($1:9)&gt;COUNT(Dong6),"",OFFSET(TH!K$1,SMALL(Dong6,ROWS($1:9)),))</f>
        <v>6506400</v>
      </c>
      <c r="I19" s="702">
        <f ca="1">IF(ROWS($1:9)&gt;COUNT(Dong6),"",OFFSET(TH!K$1,SMALL(Dong6,ROWS($1:9)),))</f>
        <v>6506400</v>
      </c>
    </row>
    <row r="20" spans="1:9" s="818" customFormat="1" ht="21" customHeight="1">
      <c r="A20" s="826">
        <f ca="1">IF(ROWS($1:10)&gt;COUNT(Dong6),"",OFFSET(TH!C$1,SMALL(Dong6,ROWS($1:10)),))</f>
        <v>41153</v>
      </c>
      <c r="B20" s="827" t="str">
        <f ca="1">IF(ROWS($1:10)&gt;COUNT(Dong6),"",OFFSET(TH!D$1,SMALL(Dong6,ROWS($1:10)),))</f>
        <v>N01</v>
      </c>
      <c r="C20" s="826">
        <f ca="1">IF(ROWS($1:10)&gt;COUNT(Dong6),"",OFFSET(TH!E$1,SMALL(Dong6,ROWS($1:10)),))</f>
        <v>41153</v>
      </c>
      <c r="D20" s="828" t="str">
        <f ca="1">IF(ROWS($1:10)&gt;COUNT(Dong6),"",OFFSET(TH!F$1,SMALL(Dong6,ROWS($1:10)),))</f>
        <v xml:space="preserve">VAT Giấy tấm </v>
      </c>
      <c r="E20" s="827">
        <f t="shared" ca="1" si="0"/>
        <v>10</v>
      </c>
      <c r="F20" s="829" t="str">
        <f ca="1">IF(ROWS($1:10)&gt;COUNT(Dong6),"",OFFSET(TH!L$1,SMALL(Dong6,ROWS($1:10)),))</f>
        <v>1331</v>
      </c>
      <c r="G20" s="829" t="str">
        <f ca="1">IF(ROWS($1:10)&gt;COUNT(Dong6),"",OFFSET(TH!M$1,SMALL(Dong6,ROWS($1:10)),))</f>
        <v>331</v>
      </c>
      <c r="H20" s="702">
        <f ca="1">IF(ROWS($1:10)&gt;COUNT(Dong6),"",OFFSET(TH!K$1,SMALL(Dong6,ROWS($1:10)),))</f>
        <v>1313520</v>
      </c>
      <c r="I20" s="702">
        <f ca="1">IF(ROWS($1:10)&gt;COUNT(Dong6),"",OFFSET(TH!K$1,SMALL(Dong6,ROWS($1:10)),))</f>
        <v>1313520</v>
      </c>
    </row>
    <row r="21" spans="1:9" s="818" customFormat="1" ht="21" customHeight="1">
      <c r="A21" s="826">
        <f ca="1">IF(ROWS($1:11)&gt;COUNT(Dong6),"",OFFSET(TH!C$1,SMALL(Dong6,ROWS($1:11)),))</f>
        <v>41153</v>
      </c>
      <c r="B21" s="827" t="str">
        <f ca="1">IF(ROWS($1:11)&gt;COUNT(Dong6),"",OFFSET(TH!D$1,SMALL(Dong6,ROWS($1:11)),))</f>
        <v>C04</v>
      </c>
      <c r="C21" s="826">
        <f ca="1">IF(ROWS($1:11)&gt;COUNT(Dong6),"",OFFSET(TH!E$1,SMALL(Dong6,ROWS($1:11)),))</f>
        <v>41153</v>
      </c>
      <c r="D21" s="828" t="str">
        <f ca="1">IF(ROWS($1:11)&gt;COUNT(Dong6),"",OFFSET(TH!F$1,SMALL(Dong6,ROWS($1:11)),))</f>
        <v>Thanh toán tiền hàng</v>
      </c>
      <c r="E21" s="827">
        <f t="shared" ca="1" si="0"/>
        <v>11</v>
      </c>
      <c r="F21" s="829" t="str">
        <f ca="1">IF(ROWS($1:11)&gt;COUNT(Dong6),"",OFFSET(TH!L$1,SMALL(Dong6,ROWS($1:11)),))</f>
        <v>331</v>
      </c>
      <c r="G21" s="829" t="str">
        <f ca="1">IF(ROWS($1:11)&gt;COUNT(Dong6),"",OFFSET(TH!M$1,SMALL(Dong6,ROWS($1:11)),))</f>
        <v>1111</v>
      </c>
      <c r="H21" s="702">
        <f ca="1">IF(ROWS($1:11)&gt;COUNT(Dong6),"",OFFSET(TH!K$1,SMALL(Dong6,ROWS($1:11)),))</f>
        <v>14448720</v>
      </c>
      <c r="I21" s="702">
        <f ca="1">IF(ROWS($1:11)&gt;COUNT(Dong6),"",OFFSET(TH!K$1,SMALL(Dong6,ROWS($1:11)),))</f>
        <v>14448720</v>
      </c>
    </row>
    <row r="22" spans="1:9" s="818" customFormat="1" ht="21" customHeight="1">
      <c r="A22" s="826">
        <f ca="1">IF(ROWS($1:12)&gt;COUNT(Dong6),"",OFFSET(TH!C$1,SMALL(Dong6,ROWS($1:12)),))</f>
        <v>41155</v>
      </c>
      <c r="B22" s="827" t="str">
        <f ca="1">IF(ROWS($1:12)&gt;COUNT(Dong6),"",OFFSET(TH!D$1,SMALL(Dong6,ROWS($1:12)),))</f>
        <v>N02</v>
      </c>
      <c r="C22" s="826">
        <f ca="1">IF(ROWS($1:12)&gt;COUNT(Dong6),"",OFFSET(TH!E$1,SMALL(Dong6,ROWS($1:12)),))</f>
        <v>41155</v>
      </c>
      <c r="D22" s="828" t="str">
        <f ca="1">IF(ROWS($1:12)&gt;COUNT(Dong6),"",OFFSET(TH!F$1,SMALL(Dong6,ROWS($1:12)),))</f>
        <v>Giấy tấm 1N +2X (105x159)</v>
      </c>
      <c r="E22" s="827">
        <f t="shared" ca="1" si="0"/>
        <v>12</v>
      </c>
      <c r="F22" s="829" t="str">
        <f ca="1">IF(ROWS($1:12)&gt;COUNT(Dong6),"",OFFSET(TH!L$1,SMALL(Dong6,ROWS($1:12)),))</f>
        <v>156</v>
      </c>
      <c r="G22" s="829" t="str">
        <f ca="1">IF(ROWS($1:12)&gt;COUNT(Dong6),"",OFFSET(TH!M$1,SMALL(Dong6,ROWS($1:12)),))</f>
        <v>331</v>
      </c>
      <c r="H22" s="702">
        <f ca="1">IF(ROWS($1:12)&gt;COUNT(Dong6),"",OFFSET(TH!K$1,SMALL(Dong6,ROWS($1:12)),))</f>
        <v>5143000</v>
      </c>
      <c r="I22" s="702">
        <f ca="1">IF(ROWS($1:12)&gt;COUNT(Dong6),"",OFFSET(TH!K$1,SMALL(Dong6,ROWS($1:12)),))</f>
        <v>5143000</v>
      </c>
    </row>
    <row r="23" spans="1:9" s="818" customFormat="1" ht="21" customHeight="1">
      <c r="A23" s="826">
        <f ca="1">IF(ROWS($1:13)&gt;COUNT(Dong6),"",OFFSET(TH!C$1,SMALL(Dong6,ROWS($1:13)),))</f>
        <v>41155</v>
      </c>
      <c r="B23" s="827" t="str">
        <f ca="1">IF(ROWS($1:13)&gt;COUNT(Dong6),"",OFFSET(TH!D$1,SMALL(Dong6,ROWS($1:13)),))</f>
        <v>N02</v>
      </c>
      <c r="C23" s="826">
        <f ca="1">IF(ROWS($1:13)&gt;COUNT(Dong6),"",OFFSET(TH!E$1,SMALL(Dong6,ROWS($1:13)),))</f>
        <v>41155</v>
      </c>
      <c r="D23" s="828" t="str">
        <f ca="1">IF(ROWS($1:13)&gt;COUNT(Dong6),"",OFFSET(TH!F$1,SMALL(Dong6,ROWS($1:13)),))</f>
        <v>Giấy tấm 1N +2X (115x163)</v>
      </c>
      <c r="E23" s="827">
        <f t="shared" ca="1" si="0"/>
        <v>13</v>
      </c>
      <c r="F23" s="829" t="str">
        <f ca="1">IF(ROWS($1:13)&gt;COUNT(Dong6),"",OFFSET(TH!L$1,SMALL(Dong6,ROWS($1:13)),))</f>
        <v>156</v>
      </c>
      <c r="G23" s="829" t="str">
        <f ca="1">IF(ROWS($1:13)&gt;COUNT(Dong6),"",OFFSET(TH!M$1,SMALL(Dong6,ROWS($1:13)),))</f>
        <v>331</v>
      </c>
      <c r="H23" s="702">
        <f ca="1">IF(ROWS($1:13)&gt;COUNT(Dong6),"",OFFSET(TH!K$1,SMALL(Dong6,ROWS($1:13)),))</f>
        <v>5811000</v>
      </c>
      <c r="I23" s="702">
        <f ca="1">IF(ROWS($1:13)&gt;COUNT(Dong6),"",OFFSET(TH!K$1,SMALL(Dong6,ROWS($1:13)),))</f>
        <v>5811000</v>
      </c>
    </row>
    <row r="24" spans="1:9" s="818" customFormat="1" ht="21" customHeight="1">
      <c r="A24" s="826">
        <f ca="1">IF(ROWS($1:14)&gt;COUNT(Dong6),"",OFFSET(TH!C$1,SMALL(Dong6,ROWS($1:14)),))</f>
        <v>41155</v>
      </c>
      <c r="B24" s="827" t="str">
        <f ca="1">IF(ROWS($1:14)&gt;COUNT(Dong6),"",OFFSET(TH!D$1,SMALL(Dong6,ROWS($1:14)),))</f>
        <v>N02</v>
      </c>
      <c r="C24" s="826">
        <f ca="1">IF(ROWS($1:14)&gt;COUNT(Dong6),"",OFFSET(TH!E$1,SMALL(Dong6,ROWS($1:14)),))</f>
        <v>41155</v>
      </c>
      <c r="D24" s="828" t="str">
        <f ca="1">IF(ROWS($1:14)&gt;COUNT(Dong6),"",OFFSET(TH!F$1,SMALL(Dong6,ROWS($1:14)),))</f>
        <v xml:space="preserve">VAT Giấy tấm </v>
      </c>
      <c r="E24" s="827">
        <f t="shared" ca="1" si="0"/>
        <v>14</v>
      </c>
      <c r="F24" s="829" t="str">
        <f ca="1">IF(ROWS($1:14)&gt;COUNT(Dong6),"",OFFSET(TH!L$1,SMALL(Dong6,ROWS($1:14)),))</f>
        <v>1331</v>
      </c>
      <c r="G24" s="829" t="str">
        <f ca="1">IF(ROWS($1:14)&gt;COUNT(Dong6),"",OFFSET(TH!M$1,SMALL(Dong6,ROWS($1:14)),))</f>
        <v>331</v>
      </c>
      <c r="H24" s="702">
        <f ca="1">IF(ROWS($1:14)&gt;COUNT(Dong6),"",OFFSET(TH!K$1,SMALL(Dong6,ROWS($1:14)),))</f>
        <v>1095400</v>
      </c>
      <c r="I24" s="702">
        <f ca="1">IF(ROWS($1:14)&gt;COUNT(Dong6),"",OFFSET(TH!K$1,SMALL(Dong6,ROWS($1:14)),))</f>
        <v>1095400</v>
      </c>
    </row>
    <row r="25" spans="1:9" s="818" customFormat="1" ht="21" customHeight="1">
      <c r="A25" s="826">
        <f ca="1">IF(ROWS($1:15)&gt;COUNT(Dong6),"",OFFSET(TH!C$1,SMALL(Dong6,ROWS($1:15)),))</f>
        <v>41155</v>
      </c>
      <c r="B25" s="827" t="str">
        <f ca="1">IF(ROWS($1:15)&gt;COUNT(Dong6),"",OFFSET(TH!D$1,SMALL(Dong6,ROWS($1:15)),))</f>
        <v>C05</v>
      </c>
      <c r="C25" s="826">
        <f ca="1">IF(ROWS($1:15)&gt;COUNT(Dong6),"",OFFSET(TH!E$1,SMALL(Dong6,ROWS($1:15)),))</f>
        <v>41155</v>
      </c>
      <c r="D25" s="828" t="str">
        <f ca="1">IF(ROWS($1:15)&gt;COUNT(Dong6),"",OFFSET(TH!F$1,SMALL(Dong6,ROWS($1:15)),))</f>
        <v>Thanh toán tiền hàng</v>
      </c>
      <c r="E25" s="827">
        <f t="shared" ca="1" si="0"/>
        <v>15</v>
      </c>
      <c r="F25" s="829" t="str">
        <f ca="1">IF(ROWS($1:15)&gt;COUNT(Dong6),"",OFFSET(TH!L$1,SMALL(Dong6,ROWS($1:15)),))</f>
        <v>331</v>
      </c>
      <c r="G25" s="829" t="str">
        <f ca="1">IF(ROWS($1:15)&gt;COUNT(Dong6),"",OFFSET(TH!M$1,SMALL(Dong6,ROWS($1:15)),))</f>
        <v>1111</v>
      </c>
      <c r="H25" s="702">
        <f ca="1">IF(ROWS($1:15)&gt;COUNT(Dong6),"",OFFSET(TH!K$1,SMALL(Dong6,ROWS($1:15)),))</f>
        <v>12049400</v>
      </c>
      <c r="I25" s="702">
        <f ca="1">IF(ROWS($1:15)&gt;COUNT(Dong6),"",OFFSET(TH!K$1,SMALL(Dong6,ROWS($1:15)),))</f>
        <v>12049400</v>
      </c>
    </row>
    <row r="26" spans="1:9" s="818" customFormat="1" ht="21" customHeight="1">
      <c r="A26" s="826">
        <f ca="1">IF(ROWS($1:16)&gt;COUNT(Dong6),"",OFFSET(TH!C$1,SMALL(Dong6,ROWS($1:16)),))</f>
        <v>41156</v>
      </c>
      <c r="B26" s="827" t="str">
        <f ca="1">IF(ROWS($1:16)&gt;COUNT(Dong6),"",OFFSET(TH!D$1,SMALL(Dong6,ROWS($1:16)),))</f>
        <v>N03</v>
      </c>
      <c r="C26" s="826">
        <f ca="1">IF(ROWS($1:16)&gt;COUNT(Dong6),"",OFFSET(TH!E$1,SMALL(Dong6,ROWS($1:16)),))</f>
        <v>41156</v>
      </c>
      <c r="D26" s="828" t="str">
        <f ca="1">IF(ROWS($1:16)&gt;COUNT(Dong6),"",OFFSET(TH!F$1,SMALL(Dong6,ROWS($1:16)),))</f>
        <v>Giấy tấm 1N +2X (110x151)</v>
      </c>
      <c r="E26" s="827">
        <f t="shared" ca="1" si="0"/>
        <v>16</v>
      </c>
      <c r="F26" s="829" t="str">
        <f ca="1">IF(ROWS($1:16)&gt;COUNT(Dong6),"",OFFSET(TH!L$1,SMALL(Dong6,ROWS($1:16)),))</f>
        <v>156</v>
      </c>
      <c r="G26" s="829" t="str">
        <f ca="1">IF(ROWS($1:16)&gt;COUNT(Dong6),"",OFFSET(TH!M$1,SMALL(Dong6,ROWS($1:16)),))</f>
        <v>331</v>
      </c>
      <c r="H26" s="702">
        <f ca="1">IF(ROWS($1:16)&gt;COUNT(Dong6),"",OFFSET(TH!K$1,SMALL(Dong6,ROWS($1:16)),))</f>
        <v>5663900</v>
      </c>
      <c r="I26" s="702">
        <f ca="1">IF(ROWS($1:16)&gt;COUNT(Dong6),"",OFFSET(TH!K$1,SMALL(Dong6,ROWS($1:16)),))</f>
        <v>5663900</v>
      </c>
    </row>
    <row r="27" spans="1:9" s="818" customFormat="1" ht="21" customHeight="1">
      <c r="A27" s="826">
        <f ca="1">IF(ROWS($1:17)&gt;COUNT(Dong6),"",OFFSET(TH!C$1,SMALL(Dong6,ROWS($1:17)),))</f>
        <v>41156</v>
      </c>
      <c r="B27" s="827" t="str">
        <f ca="1">IF(ROWS($1:17)&gt;COUNT(Dong6),"",OFFSET(TH!D$1,SMALL(Dong6,ROWS($1:17)),))</f>
        <v>N03</v>
      </c>
      <c r="C27" s="826">
        <f ca="1">IF(ROWS($1:17)&gt;COUNT(Dong6),"",OFFSET(TH!E$1,SMALL(Dong6,ROWS($1:17)),))</f>
        <v>41156</v>
      </c>
      <c r="D27" s="828" t="str">
        <f ca="1">IF(ROWS($1:17)&gt;COUNT(Dong6),"",OFFSET(TH!F$1,SMALL(Dong6,ROWS($1:17)),))</f>
        <v>Giấy tấm 1N +2X (145x144)</v>
      </c>
      <c r="E27" s="827">
        <f t="shared" ca="1" si="0"/>
        <v>17</v>
      </c>
      <c r="F27" s="829" t="str">
        <f ca="1">IF(ROWS($1:17)&gt;COUNT(Dong6),"",OFFSET(TH!L$1,SMALL(Dong6,ROWS($1:17)),))</f>
        <v>156</v>
      </c>
      <c r="G27" s="829" t="str">
        <f ca="1">IF(ROWS($1:17)&gt;COUNT(Dong6),"",OFFSET(TH!M$1,SMALL(Dong6,ROWS($1:17)),))</f>
        <v>331</v>
      </c>
      <c r="H27" s="702">
        <f ca="1">IF(ROWS($1:17)&gt;COUNT(Dong6),"",OFFSET(TH!K$1,SMALL(Dong6,ROWS($1:17)),))</f>
        <v>8544360</v>
      </c>
      <c r="I27" s="702">
        <f ca="1">IF(ROWS($1:17)&gt;COUNT(Dong6),"",OFFSET(TH!K$1,SMALL(Dong6,ROWS($1:17)),))</f>
        <v>8544360</v>
      </c>
    </row>
    <row r="28" spans="1:9" s="818" customFormat="1" ht="21" customHeight="1">
      <c r="A28" s="826">
        <f ca="1">IF(ROWS($1:18)&gt;COUNT(Dong6),"",OFFSET(TH!C$1,SMALL(Dong6,ROWS($1:18)),))</f>
        <v>41156</v>
      </c>
      <c r="B28" s="827" t="str">
        <f ca="1">IF(ROWS($1:18)&gt;COUNT(Dong6),"",OFFSET(TH!D$1,SMALL(Dong6,ROWS($1:18)),))</f>
        <v>N03</v>
      </c>
      <c r="C28" s="826">
        <f ca="1">IF(ROWS($1:18)&gt;COUNT(Dong6),"",OFFSET(TH!E$1,SMALL(Dong6,ROWS($1:18)),))</f>
        <v>41156</v>
      </c>
      <c r="D28" s="828" t="str">
        <f ca="1">IF(ROWS($1:18)&gt;COUNT(Dong6),"",OFFSET(TH!F$1,SMALL(Dong6,ROWS($1:18)),))</f>
        <v xml:space="preserve">VAT Giấy tấm </v>
      </c>
      <c r="E28" s="827">
        <f t="shared" ca="1" si="0"/>
        <v>18</v>
      </c>
      <c r="F28" s="829" t="str">
        <f ca="1">IF(ROWS($1:18)&gt;COUNT(Dong6),"",OFFSET(TH!L$1,SMALL(Dong6,ROWS($1:18)),))</f>
        <v>1331</v>
      </c>
      <c r="G28" s="829" t="str">
        <f ca="1">IF(ROWS($1:18)&gt;COUNT(Dong6),"",OFFSET(TH!M$1,SMALL(Dong6,ROWS($1:18)),))</f>
        <v>331</v>
      </c>
      <c r="H28" s="702">
        <f ca="1">IF(ROWS($1:18)&gt;COUNT(Dong6),"",OFFSET(TH!K$1,SMALL(Dong6,ROWS($1:18)),))</f>
        <v>1420826</v>
      </c>
      <c r="I28" s="702">
        <f ca="1">IF(ROWS($1:18)&gt;COUNT(Dong6),"",OFFSET(TH!K$1,SMALL(Dong6,ROWS($1:18)),))</f>
        <v>1420826</v>
      </c>
    </row>
    <row r="29" spans="1:9" s="818" customFormat="1" ht="21" customHeight="1">
      <c r="A29" s="826">
        <f ca="1">IF(ROWS($1:19)&gt;COUNT(Dong6),"",OFFSET(TH!C$1,SMALL(Dong6,ROWS($1:19)),))</f>
        <v>41156</v>
      </c>
      <c r="B29" s="827" t="str">
        <f ca="1">IF(ROWS($1:19)&gt;COUNT(Dong6),"",OFFSET(TH!D$1,SMALL(Dong6,ROWS($1:19)),))</f>
        <v>C06</v>
      </c>
      <c r="C29" s="826">
        <f ca="1">IF(ROWS($1:19)&gt;COUNT(Dong6),"",OFFSET(TH!E$1,SMALL(Dong6,ROWS($1:19)),))</f>
        <v>41156</v>
      </c>
      <c r="D29" s="828" t="str">
        <f ca="1">IF(ROWS($1:19)&gt;COUNT(Dong6),"",OFFSET(TH!F$1,SMALL(Dong6,ROWS($1:19)),))</f>
        <v>Thanh toán tiền hàng</v>
      </c>
      <c r="E29" s="827">
        <f t="shared" ca="1" si="0"/>
        <v>19</v>
      </c>
      <c r="F29" s="829" t="str">
        <f ca="1">IF(ROWS($1:19)&gt;COUNT(Dong6),"",OFFSET(TH!L$1,SMALL(Dong6,ROWS($1:19)),))</f>
        <v>331</v>
      </c>
      <c r="G29" s="829" t="str">
        <f ca="1">IF(ROWS($1:19)&gt;COUNT(Dong6),"",OFFSET(TH!M$1,SMALL(Dong6,ROWS($1:19)),))</f>
        <v>1111</v>
      </c>
      <c r="H29" s="702">
        <f ca="1">IF(ROWS($1:19)&gt;COUNT(Dong6),"",OFFSET(TH!K$1,SMALL(Dong6,ROWS($1:19)),))</f>
        <v>15629086</v>
      </c>
      <c r="I29" s="702">
        <f ca="1">IF(ROWS($1:19)&gt;COUNT(Dong6),"",OFFSET(TH!K$1,SMALL(Dong6,ROWS($1:19)),))</f>
        <v>15629086</v>
      </c>
    </row>
    <row r="30" spans="1:9" s="818" customFormat="1" ht="21" customHeight="1">
      <c r="A30" s="826">
        <f ca="1">IF(ROWS($1:20)&gt;COUNT(Dong6),"",OFFSET(TH!C$1,SMALL(Dong6,ROWS($1:20)),))</f>
        <v>41160</v>
      </c>
      <c r="B30" s="827" t="str">
        <f ca="1">IF(ROWS($1:20)&gt;COUNT(Dong6),"",OFFSET(TH!D$1,SMALL(Dong6,ROWS($1:20)),))</f>
        <v>N04</v>
      </c>
      <c r="C30" s="826">
        <f ca="1">IF(ROWS($1:20)&gt;COUNT(Dong6),"",OFFSET(TH!E$1,SMALL(Dong6,ROWS($1:20)),))</f>
        <v>41160</v>
      </c>
      <c r="D30" s="828" t="str">
        <f ca="1">IF(ROWS($1:20)&gt;COUNT(Dong6),"",OFFSET(TH!F$1,SMALL(Dong6,ROWS($1:20)),))</f>
        <v>Giấy tấm 1N +2X (145x144)</v>
      </c>
      <c r="E30" s="827">
        <f t="shared" ca="1" si="0"/>
        <v>20</v>
      </c>
      <c r="F30" s="829" t="str">
        <f ca="1">IF(ROWS($1:20)&gt;COUNT(Dong6),"",OFFSET(TH!L$1,SMALL(Dong6,ROWS($1:20)),))</f>
        <v>156</v>
      </c>
      <c r="G30" s="829" t="str">
        <f ca="1">IF(ROWS($1:20)&gt;COUNT(Dong6),"",OFFSET(TH!M$1,SMALL(Dong6,ROWS($1:20)),))</f>
        <v>331</v>
      </c>
      <c r="H30" s="702">
        <f ca="1">IF(ROWS($1:20)&gt;COUNT(Dong6),"",OFFSET(TH!K$1,SMALL(Dong6,ROWS($1:20)),))</f>
        <v>5133600</v>
      </c>
      <c r="I30" s="702">
        <f ca="1">IF(ROWS($1:20)&gt;COUNT(Dong6),"",OFFSET(TH!K$1,SMALL(Dong6,ROWS($1:20)),))</f>
        <v>5133600</v>
      </c>
    </row>
    <row r="31" spans="1:9" s="818" customFormat="1" ht="21" customHeight="1">
      <c r="A31" s="826">
        <f ca="1">IF(ROWS($1:21)&gt;COUNT(Dong6),"",OFFSET(TH!C$1,SMALL(Dong6,ROWS($1:21)),))</f>
        <v>41160</v>
      </c>
      <c r="B31" s="827" t="str">
        <f ca="1">IF(ROWS($1:21)&gt;COUNT(Dong6),"",OFFSET(TH!D$1,SMALL(Dong6,ROWS($1:21)),))</f>
        <v>N04</v>
      </c>
      <c r="C31" s="826">
        <f ca="1">IF(ROWS($1:21)&gt;COUNT(Dong6),"",OFFSET(TH!E$1,SMALL(Dong6,ROWS($1:21)),))</f>
        <v>41160</v>
      </c>
      <c r="D31" s="828" t="str">
        <f ca="1">IF(ROWS($1:21)&gt;COUNT(Dong6),"",OFFSET(TH!F$1,SMALL(Dong6,ROWS($1:21)),))</f>
        <v xml:space="preserve">VAT Giấy tấm </v>
      </c>
      <c r="E31" s="827">
        <f t="shared" ca="1" si="0"/>
        <v>21</v>
      </c>
      <c r="F31" s="829" t="str">
        <f ca="1">IF(ROWS($1:21)&gt;COUNT(Dong6),"",OFFSET(TH!L$1,SMALL(Dong6,ROWS($1:21)),))</f>
        <v>1331</v>
      </c>
      <c r="G31" s="829" t="str">
        <f ca="1">IF(ROWS($1:21)&gt;COUNT(Dong6),"",OFFSET(TH!M$1,SMALL(Dong6,ROWS($1:21)),))</f>
        <v>331</v>
      </c>
      <c r="H31" s="702">
        <f ca="1">IF(ROWS($1:21)&gt;COUNT(Dong6),"",OFFSET(TH!K$1,SMALL(Dong6,ROWS($1:21)),))</f>
        <v>513360</v>
      </c>
      <c r="I31" s="702">
        <f ca="1">IF(ROWS($1:21)&gt;COUNT(Dong6),"",OFFSET(TH!K$1,SMALL(Dong6,ROWS($1:21)),))</f>
        <v>513360</v>
      </c>
    </row>
    <row r="32" spans="1:9" s="818" customFormat="1" ht="21" customHeight="1">
      <c r="A32" s="826">
        <f ca="1">IF(ROWS($1:22)&gt;COUNT(Dong6),"",OFFSET(TH!C$1,SMALL(Dong6,ROWS($1:22)),))</f>
        <v>41160</v>
      </c>
      <c r="B32" s="827" t="str">
        <f ca="1">IF(ROWS($1:22)&gt;COUNT(Dong6),"",OFFSET(TH!D$1,SMALL(Dong6,ROWS($1:22)),))</f>
        <v>C07</v>
      </c>
      <c r="C32" s="826">
        <f ca="1">IF(ROWS($1:22)&gt;COUNT(Dong6),"",OFFSET(TH!E$1,SMALL(Dong6,ROWS($1:22)),))</f>
        <v>41160</v>
      </c>
      <c r="D32" s="828" t="str">
        <f ca="1">IF(ROWS($1:22)&gt;COUNT(Dong6),"",OFFSET(TH!F$1,SMALL(Dong6,ROWS($1:22)),))</f>
        <v>Thanh toán tiền hàng</v>
      </c>
      <c r="E32" s="827">
        <f t="shared" ca="1" si="0"/>
        <v>22</v>
      </c>
      <c r="F32" s="829" t="str">
        <f ca="1">IF(ROWS($1:22)&gt;COUNT(Dong6),"",OFFSET(TH!L$1,SMALL(Dong6,ROWS($1:22)),))</f>
        <v>331</v>
      </c>
      <c r="G32" s="829" t="str">
        <f ca="1">IF(ROWS($1:22)&gt;COUNT(Dong6),"",OFFSET(TH!M$1,SMALL(Dong6,ROWS($1:22)),))</f>
        <v>1111</v>
      </c>
      <c r="H32" s="702">
        <f ca="1">IF(ROWS($1:22)&gt;COUNT(Dong6),"",OFFSET(TH!K$1,SMALL(Dong6,ROWS($1:22)),))</f>
        <v>5646960</v>
      </c>
      <c r="I32" s="702">
        <f ca="1">IF(ROWS($1:22)&gt;COUNT(Dong6),"",OFFSET(TH!K$1,SMALL(Dong6,ROWS($1:22)),))</f>
        <v>5646960</v>
      </c>
    </row>
    <row r="33" spans="1:9" s="818" customFormat="1" ht="21" customHeight="1">
      <c r="A33" s="826">
        <f ca="1">IF(ROWS($1:23)&gt;COUNT(Dong6),"",OFFSET(TH!C$1,SMALL(Dong6,ROWS($1:23)),))</f>
        <v>41165</v>
      </c>
      <c r="B33" s="827" t="str">
        <f ca="1">IF(ROWS($1:23)&gt;COUNT(Dong6),"",OFFSET(TH!D$1,SMALL(Dong6,ROWS($1:23)),))</f>
        <v>C08</v>
      </c>
      <c r="C33" s="826">
        <f ca="1">IF(ROWS($1:23)&gt;COUNT(Dong6),"",OFFSET(TH!E$1,SMALL(Dong6,ROWS($1:23)),))</f>
        <v>41165</v>
      </c>
      <c r="D33" s="828" t="str">
        <f ca="1">IF(ROWS($1:23)&gt;COUNT(Dong6),"",OFFSET(TH!F$1,SMALL(Dong6,ROWS($1:23)),))</f>
        <v>Thanh toán tiền điện</v>
      </c>
      <c r="E33" s="827">
        <f t="shared" ca="1" si="0"/>
        <v>23</v>
      </c>
      <c r="F33" s="829" t="str">
        <f ca="1">IF(ROWS($1:23)&gt;COUNT(Dong6),"",OFFSET(TH!L$1,SMALL(Dong6,ROWS($1:23)),))</f>
        <v>642</v>
      </c>
      <c r="G33" s="829" t="str">
        <f ca="1">IF(ROWS($1:23)&gt;COUNT(Dong6),"",OFFSET(TH!M$1,SMALL(Dong6,ROWS($1:23)),))</f>
        <v>1111</v>
      </c>
      <c r="H33" s="702">
        <f ca="1">IF(ROWS($1:23)&gt;COUNT(Dong6),"",OFFSET(TH!K$1,SMALL(Dong6,ROWS($1:23)),))</f>
        <v>373172</v>
      </c>
      <c r="I33" s="702">
        <f ca="1">IF(ROWS($1:23)&gt;COUNT(Dong6),"",OFFSET(TH!K$1,SMALL(Dong6,ROWS($1:23)),))</f>
        <v>373172</v>
      </c>
    </row>
    <row r="34" spans="1:9" s="818" customFormat="1" ht="21" customHeight="1">
      <c r="A34" s="826">
        <f ca="1">IF(ROWS($1:24)&gt;COUNT(Dong6),"",OFFSET(TH!C$1,SMALL(Dong6,ROWS($1:24)),))</f>
        <v>41165</v>
      </c>
      <c r="B34" s="827" t="str">
        <f ca="1">IF(ROWS($1:24)&gt;COUNT(Dong6),"",OFFSET(TH!D$1,SMALL(Dong6,ROWS($1:24)),))</f>
        <v>C08</v>
      </c>
      <c r="C34" s="826">
        <f ca="1">IF(ROWS($1:24)&gt;COUNT(Dong6),"",OFFSET(TH!E$1,SMALL(Dong6,ROWS($1:24)),))</f>
        <v>41165</v>
      </c>
      <c r="D34" s="828" t="str">
        <f ca="1">IF(ROWS($1:24)&gt;COUNT(Dong6),"",OFFSET(TH!F$1,SMALL(Dong6,ROWS($1:24)),))</f>
        <v>VAT Thanh toán tiền điện</v>
      </c>
      <c r="E34" s="827">
        <f t="shared" ca="1" si="0"/>
        <v>24</v>
      </c>
      <c r="F34" s="829" t="str">
        <f ca="1">IF(ROWS($1:24)&gt;COUNT(Dong6),"",OFFSET(TH!L$1,SMALL(Dong6,ROWS($1:24)),))</f>
        <v>1331</v>
      </c>
      <c r="G34" s="829" t="str">
        <f ca="1">IF(ROWS($1:24)&gt;COUNT(Dong6),"",OFFSET(TH!M$1,SMALL(Dong6,ROWS($1:24)),))</f>
        <v>1111</v>
      </c>
      <c r="H34" s="702">
        <f ca="1">IF(ROWS($1:24)&gt;COUNT(Dong6),"",OFFSET(TH!K$1,SMALL(Dong6,ROWS($1:24)),))</f>
        <v>37317</v>
      </c>
      <c r="I34" s="702">
        <f ca="1">IF(ROWS($1:24)&gt;COUNT(Dong6),"",OFFSET(TH!K$1,SMALL(Dong6,ROWS($1:24)),))</f>
        <v>37317</v>
      </c>
    </row>
    <row r="35" spans="1:9" s="818" customFormat="1" ht="21" customHeight="1">
      <c r="A35" s="826">
        <f ca="1">IF(ROWS($1:25)&gt;COUNT(Dong6),"",OFFSET(TH!C$1,SMALL(Dong6,ROWS($1:25)),))</f>
        <v>41167</v>
      </c>
      <c r="B35" s="827" t="str">
        <f ca="1">IF(ROWS($1:25)&gt;COUNT(Dong6),"",OFFSET(TH!D$1,SMALL(Dong6,ROWS($1:25)),))</f>
        <v>C09</v>
      </c>
      <c r="C35" s="826">
        <f ca="1">IF(ROWS($1:25)&gt;COUNT(Dong6),"",OFFSET(TH!E$1,SMALL(Dong6,ROWS($1:25)),))</f>
        <v>41167</v>
      </c>
      <c r="D35" s="828" t="str">
        <f ca="1">IF(ROWS($1:25)&gt;COUNT(Dong6),"",OFFSET(TH!F$1,SMALL(Dong6,ROWS($1:25)),))</f>
        <v>Thanh toán tiền điện</v>
      </c>
      <c r="E35" s="827">
        <f t="shared" ca="1" si="0"/>
        <v>25</v>
      </c>
      <c r="F35" s="829" t="str">
        <f ca="1">IF(ROWS($1:25)&gt;COUNT(Dong6),"",OFFSET(TH!L$1,SMALL(Dong6,ROWS($1:25)),))</f>
        <v>642</v>
      </c>
      <c r="G35" s="829" t="str">
        <f ca="1">IF(ROWS($1:25)&gt;COUNT(Dong6),"",OFFSET(TH!M$1,SMALL(Dong6,ROWS($1:25)),))</f>
        <v>1111</v>
      </c>
      <c r="H35" s="702">
        <f ca="1">IF(ROWS($1:25)&gt;COUNT(Dong6),"",OFFSET(TH!K$1,SMALL(Dong6,ROWS($1:25)),))</f>
        <v>96876</v>
      </c>
      <c r="I35" s="702">
        <f ca="1">IF(ROWS($1:25)&gt;COUNT(Dong6),"",OFFSET(TH!K$1,SMALL(Dong6,ROWS($1:25)),))</f>
        <v>96876</v>
      </c>
    </row>
    <row r="36" spans="1:9" s="818" customFormat="1" ht="21" customHeight="1">
      <c r="A36" s="826">
        <f ca="1">IF(ROWS($1:26)&gt;COUNT(Dong6),"",OFFSET(TH!C$1,SMALL(Dong6,ROWS($1:26)),))</f>
        <v>41167</v>
      </c>
      <c r="B36" s="827" t="str">
        <f ca="1">IF(ROWS($1:26)&gt;COUNT(Dong6),"",OFFSET(TH!D$1,SMALL(Dong6,ROWS($1:26)),))</f>
        <v>C09</v>
      </c>
      <c r="C36" s="826">
        <f ca="1">IF(ROWS($1:26)&gt;COUNT(Dong6),"",OFFSET(TH!E$1,SMALL(Dong6,ROWS($1:26)),))</f>
        <v>41167</v>
      </c>
      <c r="D36" s="828" t="str">
        <f ca="1">IF(ROWS($1:26)&gt;COUNT(Dong6),"",OFFSET(TH!F$1,SMALL(Dong6,ROWS($1:26)),))</f>
        <v>VAT Thanh toán tiền điện</v>
      </c>
      <c r="E36" s="827">
        <f t="shared" ca="1" si="0"/>
        <v>26</v>
      </c>
      <c r="F36" s="829" t="str">
        <f ca="1">IF(ROWS($1:26)&gt;COUNT(Dong6),"",OFFSET(TH!L$1,SMALL(Dong6,ROWS($1:26)),))</f>
        <v>1331</v>
      </c>
      <c r="G36" s="829" t="str">
        <f ca="1">IF(ROWS($1:26)&gt;COUNT(Dong6),"",OFFSET(TH!M$1,SMALL(Dong6,ROWS($1:26)),))</f>
        <v>1111</v>
      </c>
      <c r="H36" s="702">
        <f ca="1">IF(ROWS($1:26)&gt;COUNT(Dong6),"",OFFSET(TH!K$1,SMALL(Dong6,ROWS($1:26)),))</f>
        <v>9688</v>
      </c>
      <c r="I36" s="702">
        <f ca="1">IF(ROWS($1:26)&gt;COUNT(Dong6),"",OFFSET(TH!K$1,SMALL(Dong6,ROWS($1:26)),))</f>
        <v>9688</v>
      </c>
    </row>
    <row r="37" spans="1:9" s="818" customFormat="1" ht="21" customHeight="1">
      <c r="A37" s="826">
        <f ca="1">IF(ROWS($1:27)&gt;COUNT(Dong6),"",OFFSET(TH!C$1,SMALL(Dong6,ROWS($1:27)),))</f>
        <v>41169</v>
      </c>
      <c r="B37" s="827" t="str">
        <f ca="1">IF(ROWS($1:27)&gt;COUNT(Dong6),"",OFFSET(TH!D$1,SMALL(Dong6,ROWS($1:27)),))</f>
        <v>GBC</v>
      </c>
      <c r="C37" s="826">
        <f ca="1">IF(ROWS($1:27)&gt;COUNT(Dong6),"",OFFSET(TH!E$1,SMALL(Dong6,ROWS($1:27)),))</f>
        <v>41169</v>
      </c>
      <c r="D37" s="828" t="str">
        <f ca="1">IF(ROWS($1:27)&gt;COUNT(Dong6),"",OFFSET(TH!F$1,SMALL(Dong6,ROWS($1:27)),))</f>
        <v>Thu tiền hàng</v>
      </c>
      <c r="E37" s="827">
        <f t="shared" ca="1" si="0"/>
        <v>27</v>
      </c>
      <c r="F37" s="829" t="str">
        <f ca="1">IF(ROWS($1:27)&gt;COUNT(Dong6),"",OFFSET(TH!L$1,SMALL(Dong6,ROWS($1:27)),))</f>
        <v>1121</v>
      </c>
      <c r="G37" s="829" t="str">
        <f ca="1">IF(ROWS($1:27)&gt;COUNT(Dong6),"",OFFSET(TH!M$1,SMALL(Dong6,ROWS($1:27)),))</f>
        <v>131</v>
      </c>
      <c r="H37" s="702">
        <f ca="1">IF(ROWS($1:27)&gt;COUNT(Dong6),"",OFFSET(TH!K$1,SMALL(Dong6,ROWS($1:27)),))</f>
        <v>20532600</v>
      </c>
      <c r="I37" s="702">
        <f ca="1">IF(ROWS($1:27)&gt;COUNT(Dong6),"",OFFSET(TH!K$1,SMALL(Dong6,ROWS($1:27)),))</f>
        <v>20532600</v>
      </c>
    </row>
    <row r="38" spans="1:9" s="818" customFormat="1" ht="21" customHeight="1">
      <c r="A38" s="826">
        <f ca="1">IF(ROWS($1:28)&gt;COUNT(Dong6),"",OFFSET(TH!C$1,SMALL(Dong6,ROWS($1:28)),))</f>
        <v>41171</v>
      </c>
      <c r="B38" s="827" t="str">
        <f ca="1">IF(ROWS($1:28)&gt;COUNT(Dong6),"",OFFSET(TH!D$1,SMALL(Dong6,ROWS($1:28)),))</f>
        <v>C10</v>
      </c>
      <c r="C38" s="826">
        <f ca="1">IF(ROWS($1:28)&gt;COUNT(Dong6),"",OFFSET(TH!E$1,SMALL(Dong6,ROWS($1:28)),))</f>
        <v>41171</v>
      </c>
      <c r="D38" s="828" t="str">
        <f ca="1">IF(ROWS($1:28)&gt;COUNT(Dong6),"",OFFSET(TH!F$1,SMALL(Dong6,ROWS($1:28)),))</f>
        <v>Thanh toán tiền viễn thông</v>
      </c>
      <c r="E38" s="827">
        <f t="shared" ca="1" si="0"/>
        <v>28</v>
      </c>
      <c r="F38" s="829" t="str">
        <f ca="1">IF(ROWS($1:28)&gt;COUNT(Dong6),"",OFFSET(TH!L$1,SMALL(Dong6,ROWS($1:28)),))</f>
        <v>642</v>
      </c>
      <c r="G38" s="829" t="str">
        <f ca="1">IF(ROWS($1:28)&gt;COUNT(Dong6),"",OFFSET(TH!M$1,SMALL(Dong6,ROWS($1:28)),))</f>
        <v>1111</v>
      </c>
      <c r="H38" s="702">
        <f ca="1">IF(ROWS($1:28)&gt;COUNT(Dong6),"",OFFSET(TH!K$1,SMALL(Dong6,ROWS($1:28)),))</f>
        <v>233637</v>
      </c>
      <c r="I38" s="702">
        <f ca="1">IF(ROWS($1:28)&gt;COUNT(Dong6),"",OFFSET(TH!K$1,SMALL(Dong6,ROWS($1:28)),))</f>
        <v>233637</v>
      </c>
    </row>
    <row r="39" spans="1:9" s="818" customFormat="1" ht="21" customHeight="1">
      <c r="A39" s="826">
        <f ca="1">IF(ROWS($1:29)&gt;COUNT(Dong6),"",OFFSET(TH!C$1,SMALL(Dong6,ROWS($1:29)),))</f>
        <v>41171</v>
      </c>
      <c r="B39" s="827" t="str">
        <f ca="1">IF(ROWS($1:29)&gt;COUNT(Dong6),"",OFFSET(TH!D$1,SMALL(Dong6,ROWS($1:29)),))</f>
        <v>C10</v>
      </c>
      <c r="C39" s="826">
        <f ca="1">IF(ROWS($1:29)&gt;COUNT(Dong6),"",OFFSET(TH!E$1,SMALL(Dong6,ROWS($1:29)),))</f>
        <v>41171</v>
      </c>
      <c r="D39" s="828" t="str">
        <f ca="1">IF(ROWS($1:29)&gt;COUNT(Dong6),"",OFFSET(TH!F$1,SMALL(Dong6,ROWS($1:29)),))</f>
        <v>VAT Thanh toán tiền viễn thông</v>
      </c>
      <c r="E39" s="827">
        <f t="shared" ca="1" si="0"/>
        <v>29</v>
      </c>
      <c r="F39" s="829" t="str">
        <f ca="1">IF(ROWS($1:29)&gt;COUNT(Dong6),"",OFFSET(TH!L$1,SMALL(Dong6,ROWS($1:29)),))</f>
        <v>1331</v>
      </c>
      <c r="G39" s="829" t="str">
        <f ca="1">IF(ROWS($1:29)&gt;COUNT(Dong6),"",OFFSET(TH!M$1,SMALL(Dong6,ROWS($1:29)),))</f>
        <v>1111</v>
      </c>
      <c r="H39" s="702">
        <f ca="1">IF(ROWS($1:29)&gt;COUNT(Dong6),"",OFFSET(TH!K$1,SMALL(Dong6,ROWS($1:29)),))</f>
        <v>23363</v>
      </c>
      <c r="I39" s="702">
        <f ca="1">IF(ROWS($1:29)&gt;COUNT(Dong6),"",OFFSET(TH!K$1,SMALL(Dong6,ROWS($1:29)),))</f>
        <v>23363</v>
      </c>
    </row>
    <row r="40" spans="1:9" s="818" customFormat="1" ht="21" customHeight="1">
      <c r="A40" s="826">
        <f ca="1">IF(ROWS($1:30)&gt;COUNT(Dong6),"",OFFSET(TH!C$1,SMALL(Dong6,ROWS($1:30)),))</f>
        <v>41172</v>
      </c>
      <c r="B40" s="827" t="str">
        <f ca="1">IF(ROWS($1:30)&gt;COUNT(Dong6),"",OFFSET(TH!D$1,SMALL(Dong6,ROWS($1:30)),))</f>
        <v>N05</v>
      </c>
      <c r="C40" s="826">
        <f ca="1">IF(ROWS($1:30)&gt;COUNT(Dong6),"",OFFSET(TH!E$1,SMALL(Dong6,ROWS($1:30)),))</f>
        <v>41172</v>
      </c>
      <c r="D40" s="828" t="str">
        <f ca="1">IF(ROWS($1:30)&gt;COUNT(Dong6),"",OFFSET(TH!F$1,SMALL(Dong6,ROWS($1:30)),))</f>
        <v>Giấy tấm 1N +2X (165x158)</v>
      </c>
      <c r="E40" s="827">
        <f t="shared" ca="1" si="0"/>
        <v>30</v>
      </c>
      <c r="F40" s="829" t="str">
        <f ca="1">IF(ROWS($1:30)&gt;COUNT(Dong6),"",OFFSET(TH!L$1,SMALL(Dong6,ROWS($1:30)),))</f>
        <v>156</v>
      </c>
      <c r="G40" s="829" t="str">
        <f ca="1">IF(ROWS($1:30)&gt;COUNT(Dong6),"",OFFSET(TH!M$1,SMALL(Dong6,ROWS($1:30)),))</f>
        <v>331</v>
      </c>
      <c r="H40" s="702">
        <f ca="1">IF(ROWS($1:30)&gt;COUNT(Dong6),"",OFFSET(TH!K$1,SMALL(Dong6,ROWS($1:30)),))</f>
        <v>5143000</v>
      </c>
      <c r="I40" s="702">
        <f ca="1">IF(ROWS($1:30)&gt;COUNT(Dong6),"",OFFSET(TH!K$1,SMALL(Dong6,ROWS($1:30)),))</f>
        <v>5143000</v>
      </c>
    </row>
    <row r="41" spans="1:9" s="818" customFormat="1" ht="21" customHeight="1">
      <c r="A41" s="826">
        <f ca="1">IF(ROWS($1:31)&gt;COUNT(Dong6),"",OFFSET(TH!C$1,SMALL(Dong6,ROWS($1:31)),))</f>
        <v>41172</v>
      </c>
      <c r="B41" s="827" t="str">
        <f ca="1">IF(ROWS($1:31)&gt;COUNT(Dong6),"",OFFSET(TH!D$1,SMALL(Dong6,ROWS($1:31)),))</f>
        <v>N05</v>
      </c>
      <c r="C41" s="826">
        <f ca="1">IF(ROWS($1:31)&gt;COUNT(Dong6),"",OFFSET(TH!E$1,SMALL(Dong6,ROWS($1:31)),))</f>
        <v>41172</v>
      </c>
      <c r="D41" s="828" t="str">
        <f ca="1">IF(ROWS($1:31)&gt;COUNT(Dong6),"",OFFSET(TH!F$1,SMALL(Dong6,ROWS($1:31)),))</f>
        <v xml:space="preserve">VAT Giấy tấm </v>
      </c>
      <c r="E41" s="827">
        <f t="shared" ref="E41:E50" ca="1" si="1">IF(D41&lt;&gt;"",ROW()-10,"")</f>
        <v>31</v>
      </c>
      <c r="F41" s="829" t="str">
        <f ca="1">IF(ROWS($1:31)&gt;COUNT(Dong6),"",OFFSET(TH!L$1,SMALL(Dong6,ROWS($1:31)),))</f>
        <v>1331</v>
      </c>
      <c r="G41" s="829" t="str">
        <f ca="1">IF(ROWS($1:31)&gt;COUNT(Dong6),"",OFFSET(TH!M$1,SMALL(Dong6,ROWS($1:31)),))</f>
        <v>331</v>
      </c>
      <c r="H41" s="702">
        <f ca="1">IF(ROWS($1:31)&gt;COUNT(Dong6),"",OFFSET(TH!K$1,SMALL(Dong6,ROWS($1:31)),))</f>
        <v>514300</v>
      </c>
      <c r="I41" s="702">
        <f ca="1">IF(ROWS($1:31)&gt;COUNT(Dong6),"",OFFSET(TH!K$1,SMALL(Dong6,ROWS($1:31)),))</f>
        <v>514300</v>
      </c>
    </row>
    <row r="42" spans="1:9" s="818" customFormat="1" ht="21" customHeight="1">
      <c r="A42" s="826">
        <f ca="1">IF(ROWS($1:32)&gt;COUNT(Dong6),"",OFFSET(TH!C$1,SMALL(Dong6,ROWS($1:32)),))</f>
        <v>41172</v>
      </c>
      <c r="B42" s="827" t="str">
        <f ca="1">IF(ROWS($1:32)&gt;COUNT(Dong6),"",OFFSET(TH!D$1,SMALL(Dong6,ROWS($1:32)),))</f>
        <v>C11</v>
      </c>
      <c r="C42" s="826">
        <f ca="1">IF(ROWS($1:32)&gt;COUNT(Dong6),"",OFFSET(TH!E$1,SMALL(Dong6,ROWS($1:32)),))</f>
        <v>41172</v>
      </c>
      <c r="D42" s="828" t="str">
        <f ca="1">IF(ROWS($1:32)&gt;COUNT(Dong6),"",OFFSET(TH!F$1,SMALL(Dong6,ROWS($1:32)),))</f>
        <v>Thanh toán tiền hàng</v>
      </c>
      <c r="E42" s="827">
        <f t="shared" ca="1" si="1"/>
        <v>32</v>
      </c>
      <c r="F42" s="829" t="str">
        <f ca="1">IF(ROWS($1:32)&gt;COUNT(Dong6),"",OFFSET(TH!L$1,SMALL(Dong6,ROWS($1:32)),))</f>
        <v>331</v>
      </c>
      <c r="G42" s="829" t="str">
        <f ca="1">IF(ROWS($1:32)&gt;COUNT(Dong6),"",OFFSET(TH!M$1,SMALL(Dong6,ROWS($1:32)),))</f>
        <v>1111</v>
      </c>
      <c r="H42" s="702">
        <f ca="1">IF(ROWS($1:32)&gt;COUNT(Dong6),"",OFFSET(TH!K$1,SMALL(Dong6,ROWS($1:32)),))</f>
        <v>5657300</v>
      </c>
      <c r="I42" s="702">
        <f ca="1">IF(ROWS($1:32)&gt;COUNT(Dong6),"",OFFSET(TH!K$1,SMALL(Dong6,ROWS($1:32)),))</f>
        <v>5657300</v>
      </c>
    </row>
    <row r="43" spans="1:9" s="818" customFormat="1" ht="21" customHeight="1">
      <c r="A43" s="826">
        <f ca="1">IF(ROWS($1:33)&gt;COUNT(Dong6),"",OFFSET(TH!C$1,SMALL(Dong6,ROWS($1:33)),))</f>
        <v>41177</v>
      </c>
      <c r="B43" s="827" t="str">
        <f ca="1">IF(ROWS($1:33)&gt;COUNT(Dong6),"",OFFSET(TH!D$1,SMALL(Dong6,ROWS($1:33)),))</f>
        <v>GBC</v>
      </c>
      <c r="C43" s="826">
        <f ca="1">IF(ROWS($1:33)&gt;COUNT(Dong6),"",OFFSET(TH!E$1,SMALL(Dong6,ROWS($1:33)),))</f>
        <v>41177</v>
      </c>
      <c r="D43" s="828" t="str">
        <f ca="1">IF(ROWS($1:33)&gt;COUNT(Dong6),"",OFFSET(TH!F$1,SMALL(Dong6,ROWS($1:33)),))</f>
        <v>Lãi tiền gửi</v>
      </c>
      <c r="E43" s="827">
        <f t="shared" ca="1" si="1"/>
        <v>33</v>
      </c>
      <c r="F43" s="829" t="str">
        <f ca="1">IF(ROWS($1:33)&gt;COUNT(Dong6),"",OFFSET(TH!L$1,SMALL(Dong6,ROWS($1:33)),))</f>
        <v>1121</v>
      </c>
      <c r="G43" s="829" t="str">
        <f ca="1">IF(ROWS($1:33)&gt;COUNT(Dong6),"",OFFSET(TH!M$1,SMALL(Dong6,ROWS($1:33)),))</f>
        <v>515</v>
      </c>
      <c r="H43" s="702">
        <f ca="1">IF(ROWS($1:33)&gt;COUNT(Dong6),"",OFFSET(TH!K$1,SMALL(Dong6,ROWS($1:33)),))</f>
        <v>9576</v>
      </c>
      <c r="I43" s="702">
        <f ca="1">IF(ROWS($1:33)&gt;COUNT(Dong6),"",OFFSET(TH!K$1,SMALL(Dong6,ROWS($1:33)),))</f>
        <v>9576</v>
      </c>
    </row>
    <row r="44" spans="1:9" s="818" customFormat="1" ht="21" customHeight="1">
      <c r="A44" s="826">
        <f ca="1">IF(ROWS($1:34)&gt;COUNT(Dong6),"",OFFSET(TH!C$1,SMALL(Dong6,ROWS($1:34)),))</f>
        <v>41177</v>
      </c>
      <c r="B44" s="827" t="str">
        <f ca="1">IF(ROWS($1:34)&gt;COUNT(Dong6),"",OFFSET(TH!D$1,SMALL(Dong6,ROWS($1:34)),))</f>
        <v>GBN</v>
      </c>
      <c r="C44" s="826">
        <f ca="1">IF(ROWS($1:34)&gt;COUNT(Dong6),"",OFFSET(TH!E$1,SMALL(Dong6,ROWS($1:34)),))</f>
        <v>41177</v>
      </c>
      <c r="D44" s="828" t="str">
        <f ca="1">IF(ROWS($1:34)&gt;COUNT(Dong6),"",OFFSET(TH!F$1,SMALL(Dong6,ROWS($1:34)),))</f>
        <v>Thu phí quản lý tài khoản</v>
      </c>
      <c r="E44" s="827">
        <f t="shared" ca="1" si="1"/>
        <v>34</v>
      </c>
      <c r="F44" s="829" t="str">
        <f ca="1">IF(ROWS($1:34)&gt;COUNT(Dong6),"",OFFSET(TH!L$1,SMALL(Dong6,ROWS($1:34)),))</f>
        <v>642</v>
      </c>
      <c r="G44" s="829" t="str">
        <f ca="1">IF(ROWS($1:34)&gt;COUNT(Dong6),"",OFFSET(TH!M$1,SMALL(Dong6,ROWS($1:34)),))</f>
        <v>1121</v>
      </c>
      <c r="H44" s="702">
        <f ca="1">IF(ROWS($1:34)&gt;COUNT(Dong6),"",OFFSET(TH!K$1,SMALL(Dong6,ROWS($1:34)),))</f>
        <v>11000</v>
      </c>
      <c r="I44" s="702">
        <f ca="1">IF(ROWS($1:34)&gt;COUNT(Dong6),"",OFFSET(TH!K$1,SMALL(Dong6,ROWS($1:34)),))</f>
        <v>11000</v>
      </c>
    </row>
    <row r="45" spans="1:9" s="818" customFormat="1" ht="21" customHeight="1">
      <c r="A45" s="826" t="str">
        <f ca="1">IF(ROWS($1:35)&gt;COUNT(Dong6),"",OFFSET(TH!C$1,SMALL(Dong6,ROWS($1:35)),))</f>
        <v/>
      </c>
      <c r="B45" s="827" t="str">
        <f ca="1">IF(ROWS($1:35)&gt;COUNT(Dong6),"",OFFSET(TH!D$1,SMALL(Dong6,ROWS($1:35)),))</f>
        <v/>
      </c>
      <c r="C45" s="826" t="str">
        <f ca="1">IF(ROWS($1:35)&gt;COUNT(Dong6),"",OFFSET(TH!E$1,SMALL(Dong6,ROWS($1:35)),))</f>
        <v/>
      </c>
      <c r="D45" s="828" t="str">
        <f ca="1">IF(ROWS($1:35)&gt;COUNT(Dong6),"",OFFSET(TH!F$1,SMALL(Dong6,ROWS($1:35)),))</f>
        <v/>
      </c>
      <c r="E45" s="827" t="str">
        <f t="shared" ca="1" si="1"/>
        <v/>
      </c>
      <c r="F45" s="829" t="str">
        <f ca="1">IF(ROWS($1:35)&gt;COUNT(Dong6),"",OFFSET(TH!L$1,SMALL(Dong6,ROWS($1:35)),))</f>
        <v/>
      </c>
      <c r="G45" s="829" t="str">
        <f ca="1">IF(ROWS($1:35)&gt;COUNT(Dong6),"",OFFSET(TH!M$1,SMALL(Dong6,ROWS($1:35)),))</f>
        <v/>
      </c>
      <c r="H45" s="702" t="str">
        <f ca="1">IF(ROWS($1:35)&gt;COUNT(Dong6),"",OFFSET(TH!K$1,SMALL(Dong6,ROWS($1:35)),))</f>
        <v/>
      </c>
      <c r="I45" s="702" t="str">
        <f ca="1">IF(ROWS($1:35)&gt;COUNT(Dong6),"",OFFSET(TH!K$1,SMALL(Dong6,ROWS($1:35)),))</f>
        <v/>
      </c>
    </row>
    <row r="46" spans="1:9" s="818" customFormat="1" ht="21" customHeight="1">
      <c r="A46" s="826" t="str">
        <f ca="1">IF(ROWS($1:36)&gt;COUNT(Dong6),"",OFFSET(TH!C$1,SMALL(Dong6,ROWS($1:36)),))</f>
        <v/>
      </c>
      <c r="B46" s="827" t="str">
        <f ca="1">IF(ROWS($1:36)&gt;COUNT(Dong6),"",OFFSET(TH!D$1,SMALL(Dong6,ROWS($1:36)),))</f>
        <v/>
      </c>
      <c r="C46" s="826" t="str">
        <f ca="1">IF(ROWS($1:36)&gt;COUNT(Dong6),"",OFFSET(TH!E$1,SMALL(Dong6,ROWS($1:36)),))</f>
        <v/>
      </c>
      <c r="D46" s="828" t="str">
        <f ca="1">IF(ROWS($1:36)&gt;COUNT(Dong6),"",OFFSET(TH!F$1,SMALL(Dong6,ROWS($1:36)),))</f>
        <v/>
      </c>
      <c r="E46" s="827" t="str">
        <f t="shared" ca="1" si="1"/>
        <v/>
      </c>
      <c r="F46" s="829" t="str">
        <f ca="1">IF(ROWS($1:36)&gt;COUNT(Dong6),"",OFFSET(TH!L$1,SMALL(Dong6,ROWS($1:36)),))</f>
        <v/>
      </c>
      <c r="G46" s="829" t="str">
        <f ca="1">IF(ROWS($1:36)&gt;COUNT(Dong6),"",OFFSET(TH!M$1,SMALL(Dong6,ROWS($1:36)),))</f>
        <v/>
      </c>
      <c r="H46" s="702" t="str">
        <f ca="1">IF(ROWS($1:36)&gt;COUNT(Dong6),"",OFFSET(TH!K$1,SMALL(Dong6,ROWS($1:36)),))</f>
        <v/>
      </c>
      <c r="I46" s="702" t="str">
        <f ca="1">IF(ROWS($1:36)&gt;COUNT(Dong6),"",OFFSET(TH!K$1,SMALL(Dong6,ROWS($1:36)),))</f>
        <v/>
      </c>
    </row>
    <row r="47" spans="1:9" s="818" customFormat="1" ht="21" customHeight="1">
      <c r="A47" s="826" t="str">
        <f ca="1">IF(ROWS($1:37)&gt;COUNT(Dong6),"",OFFSET(TH!C$1,SMALL(Dong6,ROWS($1:37)),))</f>
        <v/>
      </c>
      <c r="B47" s="827" t="str">
        <f ca="1">IF(ROWS($1:37)&gt;COUNT(Dong6),"",OFFSET(TH!D$1,SMALL(Dong6,ROWS($1:37)),))</f>
        <v/>
      </c>
      <c r="C47" s="826" t="str">
        <f ca="1">IF(ROWS($1:37)&gt;COUNT(Dong6),"",OFFSET(TH!E$1,SMALL(Dong6,ROWS($1:37)),))</f>
        <v/>
      </c>
      <c r="D47" s="828" t="str">
        <f ca="1">IF(ROWS($1:37)&gt;COUNT(Dong6),"",OFFSET(TH!F$1,SMALL(Dong6,ROWS($1:37)),))</f>
        <v/>
      </c>
      <c r="E47" s="827" t="str">
        <f t="shared" ca="1" si="1"/>
        <v/>
      </c>
      <c r="F47" s="829" t="str">
        <f ca="1">IF(ROWS($1:37)&gt;COUNT(Dong6),"",OFFSET(TH!L$1,SMALL(Dong6,ROWS($1:37)),))</f>
        <v/>
      </c>
      <c r="G47" s="829" t="str">
        <f ca="1">IF(ROWS($1:37)&gt;COUNT(Dong6),"",OFFSET(TH!M$1,SMALL(Dong6,ROWS($1:37)),))</f>
        <v/>
      </c>
      <c r="H47" s="702" t="str">
        <f ca="1">IF(ROWS($1:37)&gt;COUNT(Dong6),"",OFFSET(TH!K$1,SMALL(Dong6,ROWS($1:37)),))</f>
        <v/>
      </c>
      <c r="I47" s="702" t="str">
        <f ca="1">IF(ROWS($1:37)&gt;COUNT(Dong6),"",OFFSET(TH!K$1,SMALL(Dong6,ROWS($1:37)),))</f>
        <v/>
      </c>
    </row>
    <row r="48" spans="1:9" s="818" customFormat="1" ht="21" customHeight="1">
      <c r="A48" s="826" t="str">
        <f ca="1">IF(ROWS($1:38)&gt;COUNT(Dong6),"",OFFSET(TH!C$1,SMALL(Dong6,ROWS($1:38)),))</f>
        <v/>
      </c>
      <c r="B48" s="827" t="str">
        <f ca="1">IF(ROWS($1:38)&gt;COUNT(Dong6),"",OFFSET(TH!D$1,SMALL(Dong6,ROWS($1:38)),))</f>
        <v/>
      </c>
      <c r="C48" s="826" t="str">
        <f ca="1">IF(ROWS($1:38)&gt;COUNT(Dong6),"",OFFSET(TH!E$1,SMALL(Dong6,ROWS($1:38)),))</f>
        <v/>
      </c>
      <c r="D48" s="828" t="str">
        <f ca="1">IF(ROWS($1:38)&gt;COUNT(Dong6),"",OFFSET(TH!F$1,SMALL(Dong6,ROWS($1:38)),))</f>
        <v/>
      </c>
      <c r="E48" s="827" t="str">
        <f t="shared" ca="1" si="1"/>
        <v/>
      </c>
      <c r="F48" s="829" t="str">
        <f ca="1">IF(ROWS($1:38)&gt;COUNT(Dong6),"",OFFSET(TH!L$1,SMALL(Dong6,ROWS($1:38)),))</f>
        <v/>
      </c>
      <c r="G48" s="829" t="str">
        <f ca="1">IF(ROWS($1:38)&gt;COUNT(Dong6),"",OFFSET(TH!M$1,SMALL(Dong6,ROWS($1:38)),))</f>
        <v/>
      </c>
      <c r="H48" s="702" t="str">
        <f ca="1">IF(ROWS($1:38)&gt;COUNT(Dong6),"",OFFSET(TH!K$1,SMALL(Dong6,ROWS($1:38)),))</f>
        <v/>
      </c>
      <c r="I48" s="702" t="str">
        <f ca="1">IF(ROWS($1:38)&gt;COUNT(Dong6),"",OFFSET(TH!K$1,SMALL(Dong6,ROWS($1:38)),))</f>
        <v/>
      </c>
    </row>
    <row r="49" spans="1:10" s="818" customFormat="1" ht="21" customHeight="1">
      <c r="A49" s="826" t="str">
        <f ca="1">IF(ROWS($1:39)&gt;COUNT(Dong6),"",OFFSET(TH!C$1,SMALL(Dong6,ROWS($1:39)),))</f>
        <v/>
      </c>
      <c r="B49" s="827" t="str">
        <f ca="1">IF(ROWS($1:39)&gt;COUNT(Dong6),"",OFFSET(TH!D$1,SMALL(Dong6,ROWS($1:39)),))</f>
        <v/>
      </c>
      <c r="C49" s="826" t="str">
        <f ca="1">IF(ROWS($1:39)&gt;COUNT(Dong6),"",OFFSET(TH!E$1,SMALL(Dong6,ROWS($1:39)),))</f>
        <v/>
      </c>
      <c r="D49" s="828" t="str">
        <f ca="1">IF(ROWS($1:39)&gt;COUNT(Dong6),"",OFFSET(TH!F$1,SMALL(Dong6,ROWS($1:39)),))</f>
        <v/>
      </c>
      <c r="E49" s="827" t="str">
        <f t="shared" ca="1" si="1"/>
        <v/>
      </c>
      <c r="F49" s="829" t="str">
        <f ca="1">IF(ROWS($1:39)&gt;COUNT(Dong6),"",OFFSET(TH!L$1,SMALL(Dong6,ROWS($1:39)),))</f>
        <v/>
      </c>
      <c r="G49" s="829" t="str">
        <f ca="1">IF(ROWS($1:39)&gt;COUNT(Dong6),"",OFFSET(TH!M$1,SMALL(Dong6,ROWS($1:39)),))</f>
        <v/>
      </c>
      <c r="H49" s="702" t="str">
        <f ca="1">IF(ROWS($1:39)&gt;COUNT(Dong6),"",OFFSET(TH!K$1,SMALL(Dong6,ROWS($1:39)),))</f>
        <v/>
      </c>
      <c r="I49" s="702" t="str">
        <f ca="1">IF(ROWS($1:39)&gt;COUNT(Dong6),"",OFFSET(TH!K$1,SMALL(Dong6,ROWS($1:39)),))</f>
        <v/>
      </c>
    </row>
    <row r="50" spans="1:10" s="818" customFormat="1" ht="21" customHeight="1">
      <c r="A50" s="826" t="str">
        <f ca="1">IF(ROWS($1:40)&gt;COUNT(Dong6),"",OFFSET(TH!C$1,SMALL(Dong6,ROWS($1:40)),))</f>
        <v/>
      </c>
      <c r="B50" s="827" t="str">
        <f ca="1">IF(ROWS($1:40)&gt;COUNT(Dong6),"",OFFSET(TH!D$1,SMALL(Dong6,ROWS($1:40)),))</f>
        <v/>
      </c>
      <c r="C50" s="826" t="str">
        <f ca="1">IF(ROWS($1:40)&gt;COUNT(Dong6),"",OFFSET(TH!E$1,SMALL(Dong6,ROWS($1:40)),))</f>
        <v/>
      </c>
      <c r="D50" s="828" t="str">
        <f ca="1">IF(ROWS($1:40)&gt;COUNT(Dong6),"",OFFSET(TH!F$1,SMALL(Dong6,ROWS($1:40)),))</f>
        <v/>
      </c>
      <c r="E50" s="827" t="str">
        <f t="shared" ca="1" si="1"/>
        <v/>
      </c>
      <c r="F50" s="829" t="str">
        <f ca="1">IF(ROWS($1:40)&gt;COUNT(Dong6),"",OFFSET(TH!L$1,SMALL(Dong6,ROWS($1:40)),))</f>
        <v/>
      </c>
      <c r="G50" s="829" t="str">
        <f ca="1">IF(ROWS($1:40)&gt;COUNT(Dong6),"",OFFSET(TH!M$1,SMALL(Dong6,ROWS($1:40)),))</f>
        <v/>
      </c>
      <c r="H50" s="702" t="str">
        <f ca="1">IF(ROWS($1:40)&gt;COUNT(Dong6),"",OFFSET(TH!K$1,SMALL(Dong6,ROWS($1:40)),))</f>
        <v/>
      </c>
      <c r="I50" s="702" t="str">
        <f ca="1">IF(ROWS($1:40)&gt;COUNT(Dong6),"",OFFSET(TH!K$1,SMALL(Dong6,ROWS($1:40)),))</f>
        <v/>
      </c>
    </row>
    <row r="51" spans="1:10" s="818" customFormat="1" ht="21" customHeight="1">
      <c r="A51" s="826"/>
      <c r="B51" s="827"/>
      <c r="C51" s="826"/>
      <c r="D51" s="828"/>
      <c r="E51" s="827"/>
      <c r="F51" s="829"/>
      <c r="G51" s="829"/>
      <c r="H51" s="702"/>
      <c r="I51" s="702"/>
    </row>
    <row r="52" spans="1:10" s="818" customFormat="1" ht="21" customHeight="1">
      <c r="A52" s="830"/>
      <c r="B52" s="830"/>
      <c r="C52" s="830"/>
      <c r="D52" s="831" t="s">
        <v>362</v>
      </c>
      <c r="E52" s="832" t="s">
        <v>19</v>
      </c>
      <c r="F52" s="832"/>
      <c r="G52" s="832" t="s">
        <v>19</v>
      </c>
      <c r="H52" s="833">
        <f ca="1">SUBTOTAL(9,$H$10:$H$51)</f>
        <v>2635779161</v>
      </c>
      <c r="I52" s="833">
        <f ca="1">SUBTOTAL(9,I10:I51)</f>
        <v>2635779161</v>
      </c>
    </row>
    <row r="53" spans="1:10" s="818" customFormat="1" ht="15">
      <c r="A53" s="834" t="s">
        <v>585</v>
      </c>
    </row>
    <row r="54" spans="1:10" s="818" customFormat="1" ht="15">
      <c r="A54" s="834" t="str">
        <f ca="1">"- Ngày mở sổ: "&amp;DAY($A$11)&amp;"/"&amp;MONTH($A$11)&amp;"/ " &amp;YEAR($A$11)</f>
        <v>- Ngày mở sổ: 1/8/ 2012</v>
      </c>
    </row>
    <row r="55" spans="1:10" s="818" customFormat="1" ht="15">
      <c r="H55" s="132" t="str">
        <f ca="1">"Ngày "&amp;IF(OR($L$11=4,$L$11=6,$L$11=9,$L$11=11),"30",IF($L$11=2,"28","31"))&amp;" tháng "&amp;$N$8&amp;"  năm  "&amp;YEAR($A$14)</f>
        <v>Ngày 31 tháng 9  năm  2012</v>
      </c>
      <c r="I55" s="835"/>
      <c r="J55" s="835"/>
    </row>
    <row r="56" spans="1:10" s="818" customFormat="1" ht="15">
      <c r="B56" s="835" t="s">
        <v>359</v>
      </c>
      <c r="D56" s="835" t="s">
        <v>12</v>
      </c>
      <c r="H56" s="835" t="s">
        <v>360</v>
      </c>
      <c r="I56" s="835"/>
      <c r="J56" s="835"/>
    </row>
    <row r="57" spans="1:10" s="818" customFormat="1" ht="15">
      <c r="B57" s="835" t="s">
        <v>13</v>
      </c>
      <c r="D57" s="835" t="s">
        <v>13</v>
      </c>
      <c r="H57" s="835" t="s">
        <v>136</v>
      </c>
      <c r="I57" s="835"/>
      <c r="J57" s="835"/>
    </row>
    <row r="58" spans="1:10" s="818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8" activePane="bottomLeft" state="frozen"/>
      <selection activeCell="A5" sqref="A5"/>
      <selection pane="bottomLeft" activeCell="B16" sqref="B16"/>
    </sheetView>
  </sheetViews>
  <sheetFormatPr defaultRowHeight="15"/>
  <cols>
    <col min="1" max="1" width="7.7109375" style="175" customWidth="1"/>
    <col min="2" max="2" width="6.28515625" style="175" customWidth="1"/>
    <col min="3" max="3" width="7.42578125" style="175" customWidth="1"/>
    <col min="4" max="4" width="34.5703125" style="5" customWidth="1"/>
    <col min="5" max="5" width="6.28515625" style="17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05" t="s">
        <v>145</v>
      </c>
      <c r="H2" s="905"/>
      <c r="I2" s="905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06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06"/>
      <c r="I3" s="906"/>
    </row>
    <row r="4" spans="1:9">
      <c r="F4" s="17"/>
      <c r="G4" s="906"/>
      <c r="H4" s="906"/>
      <c r="I4" s="906"/>
    </row>
    <row r="5" spans="1:9" ht="17.25" customHeight="1">
      <c r="A5" s="907" t="s">
        <v>146</v>
      </c>
      <c r="B5" s="907"/>
      <c r="C5" s="907"/>
      <c r="D5" s="907"/>
      <c r="E5" s="907"/>
      <c r="F5" s="907"/>
      <c r="G5" s="907"/>
      <c r="H5" s="907"/>
      <c r="I5" s="907"/>
    </row>
    <row r="6" spans="1:9">
      <c r="A6" s="908" t="s">
        <v>147</v>
      </c>
      <c r="B6" s="909"/>
      <c r="C6" s="909"/>
      <c r="D6" s="909"/>
      <c r="E6" s="909"/>
      <c r="F6" s="909"/>
      <c r="G6" s="909"/>
      <c r="H6" s="909"/>
      <c r="I6" s="909"/>
    </row>
    <row r="7" spans="1:9">
      <c r="B7" s="5"/>
      <c r="C7" s="5"/>
      <c r="D7" s="181" t="s">
        <v>148</v>
      </c>
      <c r="E7" s="182" t="s">
        <v>83</v>
      </c>
    </row>
    <row r="8" spans="1:9">
      <c r="B8" s="5"/>
      <c r="C8" s="5"/>
      <c r="D8" s="181" t="s">
        <v>149</v>
      </c>
      <c r="E8" s="5" t="str">
        <f>VLOOKUP($E$7,DSTK,2,0)</f>
        <v xml:space="preserve"> Chi phí quản lý doanh nghiệp </v>
      </c>
    </row>
    <row r="9" spans="1:9">
      <c r="A9" s="909" t="s">
        <v>29</v>
      </c>
      <c r="B9" s="910"/>
      <c r="C9" s="910"/>
      <c r="D9" s="910"/>
      <c r="E9" s="910"/>
      <c r="F9" s="910"/>
      <c r="G9" s="910"/>
      <c r="H9" s="910"/>
      <c r="I9" s="910"/>
    </row>
    <row r="10" spans="1:9" ht="9.75" customHeight="1">
      <c r="C10" s="911"/>
      <c r="D10" s="912"/>
      <c r="E10" s="912"/>
      <c r="F10" s="912"/>
      <c r="G10" s="912"/>
      <c r="H10" s="912"/>
      <c r="I10" s="912"/>
    </row>
    <row r="11" spans="1:9" s="18" customFormat="1" ht="19.5" customHeight="1">
      <c r="A11" s="913" t="s">
        <v>20</v>
      </c>
      <c r="B11" s="903" t="s">
        <v>1</v>
      </c>
      <c r="C11" s="914"/>
      <c r="D11" s="913" t="s">
        <v>0</v>
      </c>
      <c r="E11" s="913" t="s">
        <v>14</v>
      </c>
      <c r="F11" s="903" t="s">
        <v>21</v>
      </c>
      <c r="G11" s="914"/>
      <c r="H11" s="903" t="s">
        <v>31</v>
      </c>
      <c r="I11" s="904"/>
    </row>
    <row r="12" spans="1:9" s="18" customFormat="1" ht="32.25" customHeight="1">
      <c r="A12" s="913"/>
      <c r="B12" s="231" t="s">
        <v>15</v>
      </c>
      <c r="C12" s="231" t="s">
        <v>32</v>
      </c>
      <c r="D12" s="913"/>
      <c r="E12" s="913"/>
      <c r="F12" s="231" t="s">
        <v>22</v>
      </c>
      <c r="G12" s="231" t="s">
        <v>23</v>
      </c>
      <c r="H12" s="231" t="s">
        <v>22</v>
      </c>
      <c r="I12" s="231" t="s">
        <v>23</v>
      </c>
    </row>
    <row r="13" spans="1:9" s="203" customFormat="1" ht="11.25" customHeight="1">
      <c r="A13" s="204" t="s">
        <v>2</v>
      </c>
      <c r="B13" s="205" t="s">
        <v>3</v>
      </c>
      <c r="C13" s="204" t="s">
        <v>4</v>
      </c>
      <c r="D13" s="204" t="s">
        <v>5</v>
      </c>
      <c r="E13" s="204" t="s">
        <v>6</v>
      </c>
      <c r="F13" s="204">
        <v>1</v>
      </c>
      <c r="G13" s="204">
        <v>2</v>
      </c>
      <c r="H13" s="204">
        <v>3</v>
      </c>
      <c r="I13" s="204">
        <v>4</v>
      </c>
    </row>
    <row r="14" spans="1:9" s="18" customFormat="1" ht="18" customHeight="1">
      <c r="A14" s="232"/>
      <c r="B14" s="227"/>
      <c r="C14" s="232"/>
      <c r="D14" s="226" t="s">
        <v>7</v>
      </c>
      <c r="E14" s="227"/>
      <c r="F14" s="233"/>
      <c r="G14" s="233"/>
      <c r="H14" s="233">
        <f>VLOOKUP($E$7,DSTK,3,0)</f>
        <v>0</v>
      </c>
      <c r="I14" s="233">
        <f>VLOOKUP($E$7,DSTK,4,0)</f>
        <v>0</v>
      </c>
    </row>
    <row r="15" spans="1:9" s="18" customFormat="1" ht="18" customHeight="1">
      <c r="A15" s="194">
        <f ca="1">IF(ROWS($1:1)&gt;COUNT(Dong5),"",OFFSET(TH!C$1,SMALL(Dong5,ROWS($1:1)),))</f>
        <v>41274</v>
      </c>
      <c r="B15" s="194" t="str">
        <f ca="1">IF(ROWS($1:1)&gt;COUNT(Dong5),"",OFFSET(TH!D$1,SMALL(Dong5,ROWS($1:1)),))</f>
        <v>BTKC</v>
      </c>
      <c r="C15" s="194">
        <f ca="1">IF(ROWS($1:1)&gt;COUNT(Dong5),"",OFFSET(TH!E$1,SMALL(Dong5,ROWS($1:1)),))</f>
        <v>41274</v>
      </c>
      <c r="D15" s="234" t="str">
        <f ca="1">IF(ROWS($1:1)&gt;COUNT(Dong5),"",OFFSET(TH!F$1,SMALL(Dong5,ROWS($1:1)),))</f>
        <v>K/C chi phí quản lý doanh nghiệp</v>
      </c>
      <c r="E15" s="194" t="str">
        <f ca="1">IF(ROWS($1:1)&gt;COUNT(Dong5),"",IF(OFFSET(TH!L$1,SMALL(Dong5,ROWS($1:1)),)=$E$7,OFFSET(TH!M$1,SMALL(Dong5,ROWS($1:1)),),OFFSET(TH!L$1,SMALL(Dong5,ROWS($1:1)),)))</f>
        <v>911</v>
      </c>
      <c r="F15" s="235">
        <f ca="1">IF(ROWS($1:1)&gt;COUNT(Dong5),0,IF(OFFSET(TH!L$1,SMALL(Dong5,ROWS($1:1)),)=$E$7,OFFSET(TH!K$1,SMALL(Dong5,ROWS($1:1)),),0))</f>
        <v>0</v>
      </c>
      <c r="G15" s="233">
        <f ca="1">IF(ROWS($1:1)&gt;COUNT(Dong5),0,IF(OFFSET(TH!M$1,SMALL(Dong5,ROWS($1:1)),)=$E$7,OFFSET(TH!K$1,SMALL(Dong5,ROWS($1:1)),),0))</f>
        <v>31993236</v>
      </c>
      <c r="H15" s="236">
        <f ca="1">IF(D15&lt;&gt;"",MAX(H14+F15-G15-I14,0),0)</f>
        <v>0</v>
      </c>
      <c r="I15" s="236">
        <f ca="1">IF(D15&lt;&gt;"",MAX(I14+G15-H14-F15,0),0)</f>
        <v>31993236</v>
      </c>
    </row>
    <row r="16" spans="1:9" s="18" customFormat="1" ht="18" customHeight="1">
      <c r="A16" s="194">
        <f ca="1">IF(ROWS($1:2)&gt;COUNT(Dong5),"",OFFSET(TH!C$1,SMALL(Dong5,ROWS($1:2)),))</f>
        <v>41142</v>
      </c>
      <c r="B16" s="194" t="str">
        <f ca="1">IF(ROWS($1:2)&gt;COUNT(Dong5),"",OFFSET(TH!D$1,SMALL(Dong5,ROWS($1:2)),))</f>
        <v>C03</v>
      </c>
      <c r="C16" s="194">
        <f ca="1">IF(ROWS($1:2)&gt;COUNT(Dong5),"",OFFSET(TH!E$1,SMALL(Dong5,ROWS($1:2)),))</f>
        <v>41142</v>
      </c>
      <c r="D16" s="234" t="str">
        <f ca="1">IF(ROWS($1:2)&gt;COUNT(Dong5),"",OFFSET(TH!F$1,SMALL(Dong5,ROWS($1:2)),))</f>
        <v>Tiền đặt in hóa đơn</v>
      </c>
      <c r="E16" s="194" t="str">
        <f ca="1">IF(ROWS($1:2)&gt;COUNT(Dong5),"",IF(OFFSET(TH!L$1,SMALL(Dong5,ROWS($1:2)),)=$E$7,OFFSET(TH!M$1,SMALL(Dong5,ROWS($1:2)),),OFFSET(TH!L$1,SMALL(Dong5,ROWS($1:2)),)))</f>
        <v>1111</v>
      </c>
      <c r="F16" s="235">
        <f ca="1">IF(ROWS($1:2)&gt;COUNT(Dong5),0,IF(OFFSET(TH!L$1,SMALL(Dong5,ROWS($1:2)),)=$E$7,OFFSET(TH!K$1,SMALL(Dong5,ROWS($1:2)),),0))</f>
        <v>3400000</v>
      </c>
      <c r="G16" s="233">
        <f ca="1">IF(ROWS($1:2)&gt;COUNT(Dong5),0,IF(OFFSET(TH!M$1,SMALL(Dong5,ROWS($1:2)),)=$E$7,OFFSET(TH!K$1,SMALL(Dong5,ROWS($1:2)),),0))</f>
        <v>0</v>
      </c>
      <c r="H16" s="236">
        <f t="shared" ref="H16:H20" ca="1" si="0">IF(D16&lt;&gt;"",MAX(H15+F16-G16-I15,0),0)</f>
        <v>0</v>
      </c>
      <c r="I16" s="236">
        <f t="shared" ref="I16:I20" ca="1" si="1">IF(D16&lt;&gt;"",MAX(I15+G16-H15-F16,0),0)</f>
        <v>28593236</v>
      </c>
    </row>
    <row r="17" spans="1:9" s="18" customFormat="1" ht="18" customHeight="1">
      <c r="A17" s="194">
        <f ca="1">IF(ROWS($1:3)&gt;COUNT(Dong5),"",OFFSET(TH!C$1,SMALL(Dong5,ROWS($1:3)),))</f>
        <v>41146</v>
      </c>
      <c r="B17" s="194" t="str">
        <f ca="1">IF(ROWS($1:3)&gt;COUNT(Dong5),"",OFFSET(TH!D$1,SMALL(Dong5,ROWS($1:3)),))</f>
        <v>GBN</v>
      </c>
      <c r="C17" s="194">
        <f ca="1">IF(ROWS($1:3)&gt;COUNT(Dong5),"",OFFSET(TH!E$1,SMALL(Dong5,ROWS($1:3)),))</f>
        <v>41146</v>
      </c>
      <c r="D17" s="234" t="str">
        <f ca="1">IF(ROWS($1:3)&gt;COUNT(Dong5),"",OFFSET(TH!F$1,SMALL(Dong5,ROWS($1:3)),))</f>
        <v>Thu phí quản lý tài khoản</v>
      </c>
      <c r="E17" s="194" t="str">
        <f ca="1">IF(ROWS($1:3)&gt;COUNT(Dong5),"",IF(OFFSET(TH!L$1,SMALL(Dong5,ROWS($1:3)),)=$E$7,OFFSET(TH!M$1,SMALL(Dong5,ROWS($1:3)),),OFFSET(TH!L$1,SMALL(Dong5,ROWS($1:3)),)))</f>
        <v>1121</v>
      </c>
      <c r="F17" s="235">
        <f ca="1">IF(ROWS($1:3)&gt;COUNT(Dong5),0,IF(OFFSET(TH!L$1,SMALL(Dong5,ROWS($1:3)),)=$E$7,OFFSET(TH!K$1,SMALL(Dong5,ROWS($1:3)),),0))</f>
        <v>11000</v>
      </c>
      <c r="G17" s="233">
        <f ca="1">IF(ROWS($1:3)&gt;COUNT(Dong5),0,IF(OFFSET(TH!M$1,SMALL(Dong5,ROWS($1:3)),)=$E$7,OFFSET(TH!K$1,SMALL(Dong5,ROWS($1:3)),),0))</f>
        <v>0</v>
      </c>
      <c r="H17" s="236">
        <f t="shared" ca="1" si="0"/>
        <v>0</v>
      </c>
      <c r="I17" s="236">
        <f t="shared" ca="1" si="1"/>
        <v>28582236</v>
      </c>
    </row>
    <row r="18" spans="1:9" s="18" customFormat="1" ht="18" customHeight="1">
      <c r="A18" s="194">
        <f ca="1">IF(ROWS($1:4)&gt;COUNT(Dong5),"",OFFSET(TH!C$1,SMALL(Dong5,ROWS($1:4)),))</f>
        <v>41165</v>
      </c>
      <c r="B18" s="194" t="str">
        <f ca="1">IF(ROWS($1:4)&gt;COUNT(Dong5),"",OFFSET(TH!D$1,SMALL(Dong5,ROWS($1:4)),))</f>
        <v>C08</v>
      </c>
      <c r="C18" s="194">
        <f ca="1">IF(ROWS($1:4)&gt;COUNT(Dong5),"",OFFSET(TH!E$1,SMALL(Dong5,ROWS($1:4)),))</f>
        <v>41165</v>
      </c>
      <c r="D18" s="234" t="str">
        <f ca="1">IF(ROWS($1:4)&gt;COUNT(Dong5),"",OFFSET(TH!F$1,SMALL(Dong5,ROWS($1:4)),))</f>
        <v>Thanh toán tiền điện</v>
      </c>
      <c r="E18" s="194" t="str">
        <f ca="1">IF(ROWS($1:4)&gt;COUNT(Dong5),"",IF(OFFSET(TH!L$1,SMALL(Dong5,ROWS($1:4)),)=$E$7,OFFSET(TH!M$1,SMALL(Dong5,ROWS($1:4)),),OFFSET(TH!L$1,SMALL(Dong5,ROWS($1:4)),)))</f>
        <v>1111</v>
      </c>
      <c r="F18" s="235">
        <f ca="1">IF(ROWS($1:4)&gt;COUNT(Dong5),0,IF(OFFSET(TH!L$1,SMALL(Dong5,ROWS($1:4)),)=$E$7,OFFSET(TH!K$1,SMALL(Dong5,ROWS($1:4)),),0))</f>
        <v>373172</v>
      </c>
      <c r="G18" s="233">
        <f ca="1">IF(ROWS($1:4)&gt;COUNT(Dong5),0,IF(OFFSET(TH!M$1,SMALL(Dong5,ROWS($1:4)),)=$E$7,OFFSET(TH!K$1,SMALL(Dong5,ROWS($1:4)),),0))</f>
        <v>0</v>
      </c>
      <c r="H18" s="236">
        <f t="shared" ca="1" si="0"/>
        <v>0</v>
      </c>
      <c r="I18" s="236">
        <f t="shared" ca="1" si="1"/>
        <v>28209064</v>
      </c>
    </row>
    <row r="19" spans="1:9" s="18" customFormat="1" ht="18" customHeight="1">
      <c r="A19" s="194">
        <f ca="1">IF(ROWS($1:5)&gt;COUNT(Dong5),"",OFFSET(TH!C$1,SMALL(Dong5,ROWS($1:5)),))</f>
        <v>41167</v>
      </c>
      <c r="B19" s="194" t="str">
        <f ca="1">IF(ROWS($1:5)&gt;COUNT(Dong5),"",OFFSET(TH!D$1,SMALL(Dong5,ROWS($1:5)),))</f>
        <v>C09</v>
      </c>
      <c r="C19" s="194">
        <f ca="1">IF(ROWS($1:5)&gt;COUNT(Dong5),"",OFFSET(TH!E$1,SMALL(Dong5,ROWS($1:5)),))</f>
        <v>41167</v>
      </c>
      <c r="D19" s="234" t="str">
        <f ca="1">IF(ROWS($1:5)&gt;COUNT(Dong5),"",OFFSET(TH!F$1,SMALL(Dong5,ROWS($1:5)),))</f>
        <v>Thanh toán tiền điện</v>
      </c>
      <c r="E19" s="194" t="str">
        <f ca="1">IF(ROWS($1:5)&gt;COUNT(Dong5),"",IF(OFFSET(TH!L$1,SMALL(Dong5,ROWS($1:5)),)=$E$7,OFFSET(TH!M$1,SMALL(Dong5,ROWS($1:5)),),OFFSET(TH!L$1,SMALL(Dong5,ROWS($1:5)),)))</f>
        <v>1111</v>
      </c>
      <c r="F19" s="235">
        <f ca="1">IF(ROWS($1:5)&gt;COUNT(Dong5),0,IF(OFFSET(TH!L$1,SMALL(Dong5,ROWS($1:5)),)=$E$7,OFFSET(TH!K$1,SMALL(Dong5,ROWS($1:5)),),0))</f>
        <v>96876</v>
      </c>
      <c r="G19" s="233">
        <f ca="1">IF(ROWS($1:5)&gt;COUNT(Dong5),0,IF(OFFSET(TH!M$1,SMALL(Dong5,ROWS($1:5)),)=$E$7,OFFSET(TH!K$1,SMALL(Dong5,ROWS($1:5)),),0))</f>
        <v>0</v>
      </c>
      <c r="H19" s="236">
        <f t="shared" ca="1" si="0"/>
        <v>0</v>
      </c>
      <c r="I19" s="236">
        <f t="shared" ca="1" si="1"/>
        <v>28112188</v>
      </c>
    </row>
    <row r="20" spans="1:9" s="18" customFormat="1" ht="18" customHeight="1">
      <c r="A20" s="194">
        <f ca="1">IF(ROWS($1:6)&gt;COUNT(Dong5),"",OFFSET(TH!C$1,SMALL(Dong5,ROWS($1:6)),))</f>
        <v>41171</v>
      </c>
      <c r="B20" s="194" t="str">
        <f ca="1">IF(ROWS($1:6)&gt;COUNT(Dong5),"",OFFSET(TH!D$1,SMALL(Dong5,ROWS($1:6)),))</f>
        <v>C10</v>
      </c>
      <c r="C20" s="194">
        <f ca="1">IF(ROWS($1:6)&gt;COUNT(Dong5),"",OFFSET(TH!E$1,SMALL(Dong5,ROWS($1:6)),))</f>
        <v>41171</v>
      </c>
      <c r="D20" s="234" t="str">
        <f ca="1">IF(ROWS($1:6)&gt;COUNT(Dong5),"",OFFSET(TH!F$1,SMALL(Dong5,ROWS($1:6)),))</f>
        <v>Thanh toán tiền viễn thông</v>
      </c>
      <c r="E20" s="194" t="str">
        <f ca="1">IF(ROWS($1:6)&gt;COUNT(Dong5),"",IF(OFFSET(TH!L$1,SMALL(Dong5,ROWS($1:6)),)=$E$7,OFFSET(TH!M$1,SMALL(Dong5,ROWS($1:6)),),OFFSET(TH!L$1,SMALL(Dong5,ROWS($1:6)),)))</f>
        <v>1111</v>
      </c>
      <c r="F20" s="235">
        <f ca="1">IF(ROWS($1:6)&gt;COUNT(Dong5),0,IF(OFFSET(TH!L$1,SMALL(Dong5,ROWS($1:6)),)=$E$7,OFFSET(TH!K$1,SMALL(Dong5,ROWS($1:6)),),0))</f>
        <v>233637</v>
      </c>
      <c r="G20" s="233">
        <f ca="1">IF(ROWS($1:6)&gt;COUNT(Dong5),0,IF(OFFSET(TH!M$1,SMALL(Dong5,ROWS($1:6)),)=$E$7,OFFSET(TH!K$1,SMALL(Dong5,ROWS($1:6)),),0))</f>
        <v>0</v>
      </c>
      <c r="H20" s="236">
        <f t="shared" ca="1" si="0"/>
        <v>0</v>
      </c>
      <c r="I20" s="236">
        <f t="shared" ca="1" si="1"/>
        <v>27878551</v>
      </c>
    </row>
    <row r="21" spans="1:9" s="18" customFormat="1" ht="18" customHeight="1">
      <c r="A21" s="194">
        <f ca="1">IF(ROWS($1:7)&gt;COUNT(Dong5),"",OFFSET(TH!C$1,SMALL(Dong5,ROWS($1:7)),))</f>
        <v>41177</v>
      </c>
      <c r="B21" s="194" t="str">
        <f ca="1">IF(ROWS($1:7)&gt;COUNT(Dong5),"",OFFSET(TH!D$1,SMALL(Dong5,ROWS($1:7)),))</f>
        <v>GBN</v>
      </c>
      <c r="C21" s="194">
        <f ca="1">IF(ROWS($1:7)&gt;COUNT(Dong5),"",OFFSET(TH!E$1,SMALL(Dong5,ROWS($1:7)),))</f>
        <v>41177</v>
      </c>
      <c r="D21" s="234" t="str">
        <f ca="1">IF(ROWS($1:7)&gt;COUNT(Dong5),"",OFFSET(TH!F$1,SMALL(Dong5,ROWS($1:7)),))</f>
        <v>Thu phí quản lý tài khoản</v>
      </c>
      <c r="E21" s="194" t="str">
        <f ca="1">IF(ROWS($1:7)&gt;COUNT(Dong5),"",IF(OFFSET(TH!L$1,SMALL(Dong5,ROWS($1:7)),)=$E$7,OFFSET(TH!M$1,SMALL(Dong5,ROWS($1:7)),),OFFSET(TH!L$1,SMALL(Dong5,ROWS($1:7)),)))</f>
        <v>1121</v>
      </c>
      <c r="F21" s="235">
        <f ca="1">IF(ROWS($1:7)&gt;COUNT(Dong5),0,IF(OFFSET(TH!L$1,SMALL(Dong5,ROWS($1:7)),)=$E$7,OFFSET(TH!K$1,SMALL(Dong5,ROWS($1:7)),),0))</f>
        <v>11000</v>
      </c>
      <c r="G21" s="233">
        <f ca="1">IF(ROWS($1:7)&gt;COUNT(Dong5),0,IF(OFFSET(TH!M$1,SMALL(Dong5,ROWS($1:7)),)=$E$7,OFFSET(TH!K$1,SMALL(Dong5,ROWS($1:7)),),0))</f>
        <v>0</v>
      </c>
      <c r="H21" s="236">
        <f t="shared" ref="H21:H29" ca="1" si="2">IF(D21&lt;&gt;"",MAX(H20+F21-G21-I20,0),0)</f>
        <v>0</v>
      </c>
      <c r="I21" s="236">
        <f t="shared" ref="I21:I29" ca="1" si="3">IF(D21&lt;&gt;"",MAX(I20+G21-H20-F21,0),0)</f>
        <v>27867551</v>
      </c>
    </row>
    <row r="22" spans="1:9" s="18" customFormat="1" ht="18" customHeight="1">
      <c r="A22" s="194">
        <f ca="1">IF(ROWS($1:8)&gt;COUNT(Dong5),"",OFFSET(TH!C$1,SMALL(Dong5,ROWS($1:8)),))</f>
        <v>41187</v>
      </c>
      <c r="B22" s="194" t="str">
        <f ca="1">IF(ROWS($1:8)&gt;COUNT(Dong5),"",OFFSET(TH!D$1,SMALL(Dong5,ROWS($1:8)),))</f>
        <v>GBN</v>
      </c>
      <c r="C22" s="194">
        <f ca="1">IF(ROWS($1:8)&gt;COUNT(Dong5),"",OFFSET(TH!E$1,SMALL(Dong5,ROWS($1:8)),))</f>
        <v>41187</v>
      </c>
      <c r="D22" s="234" t="str">
        <f ca="1">IF(ROWS($1:8)&gt;COUNT(Dong5),"",OFFSET(TH!F$1,SMALL(Dong5,ROWS($1:8)),))</f>
        <v>Phí cấp sec</v>
      </c>
      <c r="E22" s="194" t="str">
        <f ca="1">IF(ROWS($1:8)&gt;COUNT(Dong5),"",IF(OFFSET(TH!L$1,SMALL(Dong5,ROWS($1:8)),)=$E$7,OFFSET(TH!M$1,SMALL(Dong5,ROWS($1:8)),),OFFSET(TH!L$1,SMALL(Dong5,ROWS($1:8)),)))</f>
        <v>1121</v>
      </c>
      <c r="F22" s="235">
        <f ca="1">IF(ROWS($1:8)&gt;COUNT(Dong5),0,IF(OFFSET(TH!L$1,SMALL(Dong5,ROWS($1:8)),)=$E$7,OFFSET(TH!K$1,SMALL(Dong5,ROWS($1:8)),),0))</f>
        <v>22000</v>
      </c>
      <c r="G22" s="233">
        <f ca="1">IF(ROWS($1:8)&gt;COUNT(Dong5),0,IF(OFFSET(TH!M$1,SMALL(Dong5,ROWS($1:8)),)=$E$7,OFFSET(TH!K$1,SMALL(Dong5,ROWS($1:8)),),0))</f>
        <v>0</v>
      </c>
      <c r="H22" s="236">
        <f t="shared" ca="1" si="2"/>
        <v>0</v>
      </c>
      <c r="I22" s="236">
        <f t="shared" ca="1" si="3"/>
        <v>27845551</v>
      </c>
    </row>
    <row r="23" spans="1:9" s="18" customFormat="1" ht="18" customHeight="1">
      <c r="A23" s="194">
        <f ca="1">IF(ROWS($1:9)&gt;COUNT(Dong5),"",OFFSET(TH!C$1,SMALL(Dong5,ROWS($1:9)),))</f>
        <v>41199</v>
      </c>
      <c r="B23" s="194" t="str">
        <f ca="1">IF(ROWS($1:9)&gt;COUNT(Dong5),"",OFFSET(TH!D$1,SMALL(Dong5,ROWS($1:9)),))</f>
        <v>CTGS</v>
      </c>
      <c r="C23" s="194">
        <f ca="1">IF(ROWS($1:9)&gt;COUNT(Dong5),"",OFFSET(TH!E$1,SMALL(Dong5,ROWS($1:9)),))</f>
        <v>41199</v>
      </c>
      <c r="D23" s="234" t="str">
        <f ca="1">IF(ROWS($1:9)&gt;COUNT(Dong5),"",OFFSET(TH!F$1,SMALL(Dong5,ROWS($1:9)),))</f>
        <v xml:space="preserve">Thuế môn bài phải nộp </v>
      </c>
      <c r="E23" s="194" t="str">
        <f ca="1">IF(ROWS($1:9)&gt;COUNT(Dong5),"",IF(OFFSET(TH!L$1,SMALL(Dong5,ROWS($1:9)),)=$E$7,OFFSET(TH!M$1,SMALL(Dong5,ROWS($1:9)),),OFFSET(TH!L$1,SMALL(Dong5,ROWS($1:9)),)))</f>
        <v>33382</v>
      </c>
      <c r="F23" s="235">
        <f ca="1">IF(ROWS($1:9)&gt;COUNT(Dong5),0,IF(OFFSET(TH!L$1,SMALL(Dong5,ROWS($1:9)),)=$E$7,OFFSET(TH!K$1,SMALL(Dong5,ROWS($1:9)),),0))</f>
        <v>750000</v>
      </c>
      <c r="G23" s="233">
        <f ca="1">IF(ROWS($1:9)&gt;COUNT(Dong5),0,IF(OFFSET(TH!M$1,SMALL(Dong5,ROWS($1:9)),)=$E$7,OFFSET(TH!K$1,SMALL(Dong5,ROWS($1:9)),),0))</f>
        <v>0</v>
      </c>
      <c r="H23" s="236">
        <f t="shared" ca="1" si="2"/>
        <v>0</v>
      </c>
      <c r="I23" s="236">
        <f t="shared" ca="1" si="3"/>
        <v>27095551</v>
      </c>
    </row>
    <row r="24" spans="1:9" s="18" customFormat="1" ht="18" customHeight="1">
      <c r="A24" s="194">
        <f ca="1">IF(ROWS($1:10)&gt;COUNT(Dong5),"",OFFSET(TH!C$1,SMALL(Dong5,ROWS($1:10)),))</f>
        <v>41201</v>
      </c>
      <c r="B24" s="194" t="str">
        <f ca="1">IF(ROWS($1:10)&gt;COUNT(Dong5),"",OFFSET(TH!D$1,SMALL(Dong5,ROWS($1:10)),))</f>
        <v>C03</v>
      </c>
      <c r="C24" s="194">
        <f ca="1">IF(ROWS($1:10)&gt;COUNT(Dong5),"",OFFSET(TH!E$1,SMALL(Dong5,ROWS($1:10)),))</f>
        <v>41201</v>
      </c>
      <c r="D24" s="234" t="str">
        <f ca="1">IF(ROWS($1:10)&gt;COUNT(Dong5),"",OFFSET(TH!F$1,SMALL(Dong5,ROWS($1:10)),))</f>
        <v>Phần mềm diệt virut</v>
      </c>
      <c r="E24" s="194" t="str">
        <f ca="1">IF(ROWS($1:10)&gt;COUNT(Dong5),"",IF(OFFSET(TH!L$1,SMALL(Dong5,ROWS($1:10)),)=$E$7,OFFSET(TH!M$1,SMALL(Dong5,ROWS($1:10)),),OFFSET(TH!L$1,SMALL(Dong5,ROWS($1:10)),)))</f>
        <v>1111</v>
      </c>
      <c r="F24" s="235">
        <f ca="1">IF(ROWS($1:10)&gt;COUNT(Dong5),0,IF(OFFSET(TH!L$1,SMALL(Dong5,ROWS($1:10)),)=$E$7,OFFSET(TH!K$1,SMALL(Dong5,ROWS($1:10)),),0))</f>
        <v>272000</v>
      </c>
      <c r="G24" s="233">
        <f ca="1">IF(ROWS($1:10)&gt;COUNT(Dong5),0,IF(OFFSET(TH!M$1,SMALL(Dong5,ROWS($1:10)),)=$E$7,OFFSET(TH!K$1,SMALL(Dong5,ROWS($1:10)),),0))</f>
        <v>0</v>
      </c>
      <c r="H24" s="236">
        <f t="shared" ca="1" si="2"/>
        <v>0</v>
      </c>
      <c r="I24" s="236">
        <f t="shared" ca="1" si="3"/>
        <v>26823551</v>
      </c>
    </row>
    <row r="25" spans="1:9" s="18" customFormat="1" ht="18" customHeight="1">
      <c r="A25" s="194">
        <f ca="1">IF(ROWS($1:11)&gt;COUNT(Dong5),"",OFFSET(TH!C$1,SMALL(Dong5,ROWS($1:11)),))</f>
        <v>41202</v>
      </c>
      <c r="B25" s="194" t="str">
        <f ca="1">IF(ROWS($1:11)&gt;COUNT(Dong5),"",OFFSET(TH!D$1,SMALL(Dong5,ROWS($1:11)),))</f>
        <v>C05</v>
      </c>
      <c r="C25" s="194">
        <f ca="1">IF(ROWS($1:11)&gt;COUNT(Dong5),"",OFFSET(TH!E$1,SMALL(Dong5,ROWS($1:11)),))</f>
        <v>41202</v>
      </c>
      <c r="D25" s="234" t="str">
        <f ca="1">IF(ROWS($1:11)&gt;COUNT(Dong5),"",OFFSET(TH!F$1,SMALL(Dong5,ROWS($1:11)),))</f>
        <v>Thanh toán tiền viễn thông</v>
      </c>
      <c r="E25" s="194" t="str">
        <f ca="1">IF(ROWS($1:11)&gt;COUNT(Dong5),"",IF(OFFSET(TH!L$1,SMALL(Dong5,ROWS($1:11)),)=$E$7,OFFSET(TH!M$1,SMALL(Dong5,ROWS($1:11)),),OFFSET(TH!L$1,SMALL(Dong5,ROWS($1:11)),)))</f>
        <v>1111</v>
      </c>
      <c r="F25" s="235">
        <f ca="1">IF(ROWS($1:11)&gt;COUNT(Dong5),0,IF(OFFSET(TH!L$1,SMALL(Dong5,ROWS($1:11)),)=$E$7,OFFSET(TH!K$1,SMALL(Dong5,ROWS($1:11)),),0))</f>
        <v>250000</v>
      </c>
      <c r="G25" s="233">
        <f ca="1">IF(ROWS($1:11)&gt;COUNT(Dong5),0,IF(OFFSET(TH!M$1,SMALL(Dong5,ROWS($1:11)),)=$E$7,OFFSET(TH!K$1,SMALL(Dong5,ROWS($1:11)),),0))</f>
        <v>0</v>
      </c>
      <c r="H25" s="236">
        <f t="shared" ca="1" si="2"/>
        <v>0</v>
      </c>
      <c r="I25" s="236">
        <f t="shared" ca="1" si="3"/>
        <v>26573551</v>
      </c>
    </row>
    <row r="26" spans="1:9" s="18" customFormat="1" ht="18" customHeight="1">
      <c r="A26" s="194">
        <f ca="1">IF(ROWS($1:12)&gt;COUNT(Dong5),"",OFFSET(TH!C$1,SMALL(Dong5,ROWS($1:12)),))</f>
        <v>41207</v>
      </c>
      <c r="B26" s="194" t="str">
        <f ca="1">IF(ROWS($1:12)&gt;COUNT(Dong5),"",OFFSET(TH!D$1,SMALL(Dong5,ROWS($1:12)),))</f>
        <v>GBN</v>
      </c>
      <c r="C26" s="194">
        <f ca="1">IF(ROWS($1:12)&gt;COUNT(Dong5),"",OFFSET(TH!E$1,SMALL(Dong5,ROWS($1:12)),))</f>
        <v>41207</v>
      </c>
      <c r="D26" s="234" t="str">
        <f ca="1">IF(ROWS($1:12)&gt;COUNT(Dong5),"",OFFSET(TH!F$1,SMALL(Dong5,ROWS($1:12)),))</f>
        <v>Thu phí quản lý tài khoản</v>
      </c>
      <c r="E26" s="194" t="str">
        <f ca="1">IF(ROWS($1:12)&gt;COUNT(Dong5),"",IF(OFFSET(TH!L$1,SMALL(Dong5,ROWS($1:12)),)=$E$7,OFFSET(TH!M$1,SMALL(Dong5,ROWS($1:12)),),OFFSET(TH!L$1,SMALL(Dong5,ROWS($1:12)),)))</f>
        <v>1121</v>
      </c>
      <c r="F26" s="235">
        <f ca="1">IF(ROWS($1:12)&gt;COUNT(Dong5),0,IF(OFFSET(TH!L$1,SMALL(Dong5,ROWS($1:12)),)=$E$7,OFFSET(TH!K$1,SMALL(Dong5,ROWS($1:12)),),0))</f>
        <v>11000</v>
      </c>
      <c r="G26" s="233">
        <f ca="1">IF(ROWS($1:12)&gt;COUNT(Dong5),0,IF(OFFSET(TH!M$1,SMALL(Dong5,ROWS($1:12)),)=$E$7,OFFSET(TH!K$1,SMALL(Dong5,ROWS($1:12)),),0))</f>
        <v>0</v>
      </c>
      <c r="H26" s="236">
        <f t="shared" ca="1" si="2"/>
        <v>0</v>
      </c>
      <c r="I26" s="236">
        <f t="shared" ca="1" si="3"/>
        <v>26562551</v>
      </c>
    </row>
    <row r="27" spans="1:9" s="18" customFormat="1" ht="18" customHeight="1">
      <c r="A27" s="194">
        <f ca="1">IF(ROWS($1:13)&gt;COUNT(Dong5),"",OFFSET(TH!C$1,SMALL(Dong5,ROWS($1:13)),))</f>
        <v>41220</v>
      </c>
      <c r="B27" s="194" t="str">
        <f ca="1">IF(ROWS($1:13)&gt;COUNT(Dong5),"",OFFSET(TH!D$1,SMALL(Dong5,ROWS($1:13)),))</f>
        <v>C12</v>
      </c>
      <c r="C27" s="194">
        <f ca="1">IF(ROWS($1:13)&gt;COUNT(Dong5),"",OFFSET(TH!E$1,SMALL(Dong5,ROWS($1:13)),))</f>
        <v>41220</v>
      </c>
      <c r="D27" s="234" t="str">
        <f ca="1">IF(ROWS($1:13)&gt;COUNT(Dong5),"",OFFSET(TH!F$1,SMALL(Dong5,ROWS($1:13)),))</f>
        <v>Vật dụng phòng khách</v>
      </c>
      <c r="E27" s="194" t="str">
        <f ca="1">IF(ROWS($1:13)&gt;COUNT(Dong5),"",IF(OFFSET(TH!L$1,SMALL(Dong5,ROWS($1:13)),)=$E$7,OFFSET(TH!M$1,SMALL(Dong5,ROWS($1:13)),),OFFSET(TH!L$1,SMALL(Dong5,ROWS($1:13)),)))</f>
        <v>1111</v>
      </c>
      <c r="F27" s="235">
        <f ca="1">IF(ROWS($1:13)&gt;COUNT(Dong5),0,IF(OFFSET(TH!L$1,SMALL(Dong5,ROWS($1:13)),)=$E$7,OFFSET(TH!K$1,SMALL(Dong5,ROWS($1:13)),),0))</f>
        <v>4845455</v>
      </c>
      <c r="G27" s="233">
        <f ca="1">IF(ROWS($1:13)&gt;COUNT(Dong5),0,IF(OFFSET(TH!M$1,SMALL(Dong5,ROWS($1:13)),)=$E$7,OFFSET(TH!K$1,SMALL(Dong5,ROWS($1:13)),),0))</f>
        <v>0</v>
      </c>
      <c r="H27" s="236">
        <f t="shared" ca="1" si="2"/>
        <v>0</v>
      </c>
      <c r="I27" s="236">
        <f t="shared" ca="1" si="3"/>
        <v>21717096</v>
      </c>
    </row>
    <row r="28" spans="1:9" s="18" customFormat="1" ht="18" customHeight="1">
      <c r="A28" s="194">
        <f ca="1">IF(ROWS($1:14)&gt;COUNT(Dong5),"",OFFSET(TH!C$1,SMALL(Dong5,ROWS($1:14)),))</f>
        <v>41221</v>
      </c>
      <c r="B28" s="194" t="str">
        <f ca="1">IF(ROWS($1:14)&gt;COUNT(Dong5),"",OFFSET(TH!D$1,SMALL(Dong5,ROWS($1:14)),))</f>
        <v>C13</v>
      </c>
      <c r="C28" s="194">
        <f ca="1">IF(ROWS($1:14)&gt;COUNT(Dong5),"",OFFSET(TH!E$1,SMALL(Dong5,ROWS($1:14)),))</f>
        <v>41221</v>
      </c>
      <c r="D28" s="234" t="str">
        <f ca="1">IF(ROWS($1:14)&gt;COUNT(Dong5),"",OFFSET(TH!F$1,SMALL(Dong5,ROWS($1:14)),))</f>
        <v>Vật liệu xây dựng</v>
      </c>
      <c r="E28" s="194" t="str">
        <f ca="1">IF(ROWS($1:14)&gt;COUNT(Dong5),"",IF(OFFSET(TH!L$1,SMALL(Dong5,ROWS($1:14)),)=$E$7,OFFSET(TH!M$1,SMALL(Dong5,ROWS($1:14)),),OFFSET(TH!L$1,SMALL(Dong5,ROWS($1:14)),)))</f>
        <v>1111</v>
      </c>
      <c r="F28" s="235">
        <f ca="1">IF(ROWS($1:14)&gt;COUNT(Dong5),0,IF(OFFSET(TH!L$1,SMALL(Dong5,ROWS($1:14)),)=$E$7,OFFSET(TH!K$1,SMALL(Dong5,ROWS($1:14)),),0))</f>
        <v>4372550</v>
      </c>
      <c r="G28" s="233">
        <f ca="1">IF(ROWS($1:14)&gt;COUNT(Dong5),0,IF(OFFSET(TH!M$1,SMALL(Dong5,ROWS($1:14)),)=$E$7,OFFSET(TH!K$1,SMALL(Dong5,ROWS($1:14)),),0))</f>
        <v>0</v>
      </c>
      <c r="H28" s="236">
        <f t="shared" ca="1" si="2"/>
        <v>0</v>
      </c>
      <c r="I28" s="236">
        <f t="shared" ca="1" si="3"/>
        <v>17344546</v>
      </c>
    </row>
    <row r="29" spans="1:9" s="18" customFormat="1" ht="18" customHeight="1">
      <c r="A29" s="194">
        <f ca="1">IF(ROWS($1:15)&gt;COUNT(Dong5),"",OFFSET(TH!C$1,SMALL(Dong5,ROWS($1:15)),))</f>
        <v>41228</v>
      </c>
      <c r="B29" s="194" t="str">
        <f ca="1">IF(ROWS($1:15)&gt;COUNT(Dong5),"",OFFSET(TH!D$1,SMALL(Dong5,ROWS($1:15)),))</f>
        <v>C15</v>
      </c>
      <c r="C29" s="194">
        <f ca="1">IF(ROWS($1:15)&gt;COUNT(Dong5),"",OFFSET(TH!E$1,SMALL(Dong5,ROWS($1:15)),))</f>
        <v>41228</v>
      </c>
      <c r="D29" s="234" t="str">
        <f ca="1">IF(ROWS($1:15)&gt;COUNT(Dong5),"",OFFSET(TH!F$1,SMALL(Dong5,ROWS($1:15)),))</f>
        <v>Thanh toán tiền điện</v>
      </c>
      <c r="E29" s="194" t="str">
        <f ca="1">IF(ROWS($1:15)&gt;COUNT(Dong5),"",IF(OFFSET(TH!L$1,SMALL(Dong5,ROWS($1:15)),)=$E$7,OFFSET(TH!M$1,SMALL(Dong5,ROWS($1:15)),),OFFSET(TH!L$1,SMALL(Dong5,ROWS($1:15)),)))</f>
        <v>1111</v>
      </c>
      <c r="F29" s="235">
        <f ca="1">IF(ROWS($1:15)&gt;COUNT(Dong5),0,IF(OFFSET(TH!L$1,SMALL(Dong5,ROWS($1:15)),)=$E$7,OFFSET(TH!K$1,SMALL(Dong5,ROWS($1:15)),),0))</f>
        <v>809283</v>
      </c>
      <c r="G29" s="233">
        <f ca="1">IF(ROWS($1:15)&gt;COUNT(Dong5),0,IF(OFFSET(TH!M$1,SMALL(Dong5,ROWS($1:15)),)=$E$7,OFFSET(TH!K$1,SMALL(Dong5,ROWS($1:15)),),0))</f>
        <v>0</v>
      </c>
      <c r="H29" s="236">
        <f t="shared" ca="1" si="2"/>
        <v>0</v>
      </c>
      <c r="I29" s="236">
        <f t="shared" ca="1" si="3"/>
        <v>16535263</v>
      </c>
    </row>
    <row r="30" spans="1:9" s="18" customFormat="1" ht="18" customHeight="1">
      <c r="A30" s="194">
        <f ca="1">IF(ROWS($1:16)&gt;COUNT(Dong5),"",OFFSET(TH!C$1,SMALL(Dong5,ROWS($1:16)),))</f>
        <v>41233</v>
      </c>
      <c r="B30" s="194" t="str">
        <f ca="1">IF(ROWS($1:16)&gt;COUNT(Dong5),"",OFFSET(TH!D$1,SMALL(Dong5,ROWS($1:16)),))</f>
        <v>C17</v>
      </c>
      <c r="C30" s="194">
        <f ca="1">IF(ROWS($1:16)&gt;COUNT(Dong5),"",OFFSET(TH!E$1,SMALL(Dong5,ROWS($1:16)),))</f>
        <v>41233</v>
      </c>
      <c r="D30" s="234" t="str">
        <f ca="1">IF(ROWS($1:16)&gt;COUNT(Dong5),"",OFFSET(TH!F$1,SMALL(Dong5,ROWS($1:16)),))</f>
        <v>Thanh toán tiền viễn thông</v>
      </c>
      <c r="E30" s="194" t="str">
        <f ca="1">IF(ROWS($1:16)&gt;COUNT(Dong5),"",IF(OFFSET(TH!L$1,SMALL(Dong5,ROWS($1:16)),)=$E$7,OFFSET(TH!M$1,SMALL(Dong5,ROWS($1:16)),),OFFSET(TH!L$1,SMALL(Dong5,ROWS($1:16)),)))</f>
        <v>1111</v>
      </c>
      <c r="F30" s="235">
        <f ca="1">IF(ROWS($1:16)&gt;COUNT(Dong5),0,IF(OFFSET(TH!L$1,SMALL(Dong5,ROWS($1:16)),)=$E$7,OFFSET(TH!K$1,SMALL(Dong5,ROWS($1:16)),),0))</f>
        <v>254545</v>
      </c>
      <c r="G30" s="233">
        <f ca="1">IF(ROWS($1:16)&gt;COUNT(Dong5),0,IF(OFFSET(TH!M$1,SMALL(Dong5,ROWS($1:16)),)=$E$7,OFFSET(TH!K$1,SMALL(Dong5,ROWS($1:16)),),0))</f>
        <v>0</v>
      </c>
      <c r="H30" s="236">
        <f t="shared" ref="H30" ca="1" si="4">IF(D30&lt;&gt;"",MAX(H29+F30-G30-I29,0),0)</f>
        <v>0</v>
      </c>
      <c r="I30" s="236">
        <f t="shared" ref="I30" ca="1" si="5">IF(D30&lt;&gt;"",MAX(I29+G30-H29-F30,0),0)</f>
        <v>16280718</v>
      </c>
    </row>
    <row r="31" spans="1:9" s="18" customFormat="1" ht="18" customHeight="1">
      <c r="A31" s="194"/>
      <c r="B31" s="194"/>
      <c r="C31" s="194"/>
      <c r="D31" s="234"/>
      <c r="E31" s="194"/>
      <c r="F31" s="235"/>
      <c r="G31" s="233"/>
      <c r="H31" s="236"/>
      <c r="I31" s="236"/>
    </row>
    <row r="32" spans="1:9" s="18" customFormat="1" ht="18" customHeight="1">
      <c r="A32" s="194"/>
      <c r="B32" s="195"/>
      <c r="C32" s="194"/>
      <c r="D32" s="228" t="s">
        <v>133</v>
      </c>
      <c r="E32" s="195" t="s">
        <v>19</v>
      </c>
      <c r="F32" s="237">
        <f ca="1">SUM(F15:F31)</f>
        <v>15712518</v>
      </c>
      <c r="G32" s="237">
        <f ca="1">SUM(G15:G31)</f>
        <v>31993236</v>
      </c>
      <c r="H32" s="237" t="s">
        <v>19</v>
      </c>
      <c r="I32" s="237" t="s">
        <v>19</v>
      </c>
    </row>
    <row r="33" spans="1:9" s="18" customFormat="1" ht="18" customHeight="1">
      <c r="A33" s="238"/>
      <c r="B33" s="230"/>
      <c r="C33" s="238"/>
      <c r="D33" s="229" t="s">
        <v>10</v>
      </c>
      <c r="E33" s="230" t="s">
        <v>19</v>
      </c>
      <c r="F33" s="239" t="s">
        <v>19</v>
      </c>
      <c r="G33" s="239" t="s">
        <v>19</v>
      </c>
      <c r="H33" s="240">
        <f ca="1">MAX(H14+F32-G32-I14,0)</f>
        <v>0</v>
      </c>
      <c r="I33" s="240">
        <f ca="1">MAX(I14+G32-F32-H14,0)</f>
        <v>16280718</v>
      </c>
    </row>
    <row r="34" spans="1:9" s="18" customFormat="1" ht="9.75" customHeight="1">
      <c r="A34" s="203"/>
      <c r="B34" s="203"/>
      <c r="C34" s="203"/>
      <c r="E34" s="203"/>
    </row>
    <row r="35" spans="1:9" s="18" customFormat="1" ht="12.75">
      <c r="A35" s="203"/>
      <c r="B35" s="203"/>
      <c r="C35" s="241" t="s">
        <v>155</v>
      </c>
      <c r="E35" s="203"/>
    </row>
    <row r="36" spans="1:9" s="18" customFormat="1" ht="12.75">
      <c r="A36" s="203"/>
      <c r="B36" s="203"/>
      <c r="C36" s="176" t="str">
        <f ca="1">"- Ngày mở sổ: "&amp;DAY($A$15)&amp;"/"&amp;MONTH($A$15)&amp;"/ " &amp;YEAR($A$15)</f>
        <v>- Ngày mở sổ: 31/12/ 2012</v>
      </c>
      <c r="E36" s="203"/>
    </row>
    <row r="37" spans="1:9" s="18" customFormat="1" ht="13.5" customHeight="1">
      <c r="A37" s="203"/>
      <c r="B37" s="203"/>
      <c r="C37" s="203"/>
      <c r="E37" s="901" t="str">
        <f ca="1">"Ngày 31 tháng  12  năm  "&amp;YEAR($A$15)</f>
        <v>Ngày 31 tháng  12  năm  2012</v>
      </c>
      <c r="F37" s="901"/>
      <c r="G37" s="901"/>
      <c r="H37" s="901"/>
      <c r="I37" s="901"/>
    </row>
    <row r="38" spans="1:9" s="18" customFormat="1" ht="12.75">
      <c r="A38" s="901" t="s">
        <v>11</v>
      </c>
      <c r="B38" s="901"/>
      <c r="C38" s="901"/>
      <c r="D38" s="901"/>
      <c r="E38" s="901" t="s">
        <v>12</v>
      </c>
      <c r="F38" s="901"/>
      <c r="G38" s="901"/>
      <c r="H38" s="901"/>
      <c r="I38" s="901"/>
    </row>
    <row r="39" spans="1:9" s="18" customFormat="1" ht="12.75">
      <c r="A39" s="901" t="s">
        <v>13</v>
      </c>
      <c r="B39" s="901"/>
      <c r="C39" s="901"/>
      <c r="D39" s="901"/>
      <c r="E39" s="901" t="s">
        <v>13</v>
      </c>
      <c r="F39" s="901"/>
      <c r="G39" s="901"/>
      <c r="H39" s="901"/>
      <c r="I39" s="901"/>
    </row>
    <row r="40" spans="1:9" s="18" customFormat="1" ht="12.75">
      <c r="A40" s="203"/>
      <c r="B40" s="203"/>
      <c r="C40" s="203"/>
      <c r="E40" s="203"/>
    </row>
    <row r="41" spans="1:9">
      <c r="D41" s="183"/>
      <c r="F41" s="184"/>
    </row>
    <row r="46" spans="1:9">
      <c r="A46" s="902"/>
      <c r="B46" s="902"/>
      <c r="C46" s="902"/>
      <c r="D46" s="902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5"/>
  <sheetViews>
    <sheetView topLeftCell="A9" zoomScale="90" workbookViewId="0">
      <pane ySplit="5" topLeftCell="A53" activePane="bottomLeft" state="frozen"/>
      <selection activeCell="A9" sqref="A9"/>
      <selection pane="bottomLeft" activeCell="E71" sqref="E71"/>
    </sheetView>
  </sheetViews>
  <sheetFormatPr defaultRowHeight="15"/>
  <cols>
    <col min="1" max="2" width="8.7109375" style="107" customWidth="1"/>
    <col min="3" max="4" width="6.5703125" style="107" customWidth="1"/>
    <col min="5" max="5" width="34.5703125" style="107" customWidth="1"/>
    <col min="6" max="6" width="6.28515625" style="107" customWidth="1"/>
    <col min="7" max="9" width="14.42578125" style="107" customWidth="1"/>
    <col min="10" max="10" width="6.28515625" style="107" customWidth="1"/>
    <col min="11" max="11" width="2.140625" style="107" customWidth="1"/>
    <col min="12" max="12" width="10" style="107" customWidth="1"/>
    <col min="13" max="13" width="3.28515625" style="107" customWidth="1"/>
    <col min="14" max="15" width="6.140625" style="107" customWidth="1"/>
    <col min="16" max="16384" width="9.140625" style="107"/>
  </cols>
  <sheetData>
    <row r="1" spans="1:15" s="3" customFormat="1" ht="16.5" customHeight="1">
      <c r="A1" s="133" t="str">
        <f>TH!A1</f>
        <v>Đơn vị: CÔNG TY TNHH MỘT THÀNH VIÊN KHỞI NGUYÊN AN</v>
      </c>
      <c r="B1" s="2"/>
      <c r="C1" s="2"/>
      <c r="D1" s="2"/>
      <c r="E1" s="2"/>
      <c r="G1" s="905" t="s">
        <v>119</v>
      </c>
      <c r="H1" s="905"/>
      <c r="I1" s="905"/>
      <c r="J1" s="905"/>
    </row>
    <row r="2" spans="1:15" s="3" customFormat="1" ht="16.5" customHeight="1">
      <c r="A2" s="9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06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06"/>
      <c r="I2" s="906"/>
      <c r="J2" s="906"/>
    </row>
    <row r="3" spans="1:15" s="3" customFormat="1" ht="16.5" customHeight="1">
      <c r="A3" s="4"/>
      <c r="B3" s="16"/>
      <c r="C3" s="105"/>
      <c r="D3" s="105"/>
      <c r="E3" s="16"/>
      <c r="G3" s="906"/>
      <c r="H3" s="906"/>
      <c r="I3" s="906"/>
      <c r="J3" s="906"/>
    </row>
    <row r="4" spans="1:15" s="3" customFormat="1" ht="6.75" customHeight="1">
      <c r="A4" s="16"/>
      <c r="B4" s="16"/>
      <c r="C4" s="16"/>
      <c r="D4" s="16"/>
      <c r="E4" s="16"/>
      <c r="G4" s="106"/>
      <c r="H4" s="106"/>
      <c r="I4" s="106"/>
      <c r="J4" s="106"/>
    </row>
    <row r="5" spans="1:15" ht="24.75" customHeight="1">
      <c r="A5" s="915" t="s">
        <v>120</v>
      </c>
      <c r="B5" s="915"/>
      <c r="C5" s="915"/>
      <c r="D5" s="915"/>
      <c r="E5" s="915"/>
      <c r="F5" s="915"/>
      <c r="G5" s="915"/>
      <c r="H5" s="915"/>
      <c r="I5" s="915"/>
      <c r="J5" s="915"/>
    </row>
    <row r="6" spans="1:15" ht="14.25" customHeight="1">
      <c r="A6" s="917" t="str">
        <f ca="1">$L$11&amp;" / "&amp;YEAR($A$14)</f>
        <v>Quý IV / 2012</v>
      </c>
      <c r="B6" s="917"/>
      <c r="C6" s="917"/>
      <c r="D6" s="917"/>
      <c r="E6" s="917"/>
      <c r="F6" s="917"/>
      <c r="G6" s="917"/>
      <c r="H6" s="917"/>
      <c r="I6" s="917"/>
      <c r="J6" s="917"/>
    </row>
    <row r="7" spans="1:15">
      <c r="A7" s="916" t="s">
        <v>121</v>
      </c>
      <c r="B7" s="916"/>
      <c r="C7" s="916"/>
      <c r="D7" s="916"/>
      <c r="E7" s="916"/>
      <c r="F7" s="916"/>
      <c r="G7" s="916"/>
      <c r="H7" s="916"/>
      <c r="I7" s="916"/>
      <c r="J7" s="916"/>
    </row>
    <row r="8" spans="1:15">
      <c r="A8" s="916" t="s">
        <v>122</v>
      </c>
      <c r="B8" s="916"/>
      <c r="C8" s="916"/>
      <c r="D8" s="916"/>
      <c r="E8" s="916"/>
      <c r="F8" s="916"/>
      <c r="G8" s="916"/>
      <c r="H8" s="916"/>
      <c r="I8" s="916"/>
      <c r="J8" s="916"/>
    </row>
    <row r="9" spans="1:15">
      <c r="A9" s="108"/>
      <c r="I9" s="108" t="s">
        <v>123</v>
      </c>
    </row>
    <row r="10" spans="1:15" ht="33" customHeight="1" thickBot="1">
      <c r="A10" s="919" t="s">
        <v>20</v>
      </c>
      <c r="B10" s="919" t="s">
        <v>124</v>
      </c>
      <c r="C10" s="918" t="s">
        <v>125</v>
      </c>
      <c r="D10" s="918"/>
      <c r="E10" s="918" t="s">
        <v>0</v>
      </c>
      <c r="F10" s="919" t="s">
        <v>14</v>
      </c>
      <c r="G10" s="918" t="s">
        <v>21</v>
      </c>
      <c r="H10" s="918"/>
      <c r="I10" s="918" t="s">
        <v>126</v>
      </c>
      <c r="J10" s="918" t="s">
        <v>127</v>
      </c>
      <c r="L10" s="597"/>
      <c r="N10" s="893" t="s">
        <v>346</v>
      </c>
      <c r="O10" s="893"/>
    </row>
    <row r="11" spans="1:15" ht="24" customHeight="1" thickBot="1">
      <c r="A11" s="920"/>
      <c r="B11" s="920"/>
      <c r="C11" s="109" t="s">
        <v>128</v>
      </c>
      <c r="D11" s="109" t="s">
        <v>129</v>
      </c>
      <c r="E11" s="918"/>
      <c r="F11" s="920"/>
      <c r="G11" s="109" t="s">
        <v>22</v>
      </c>
      <c r="H11" s="109" t="s">
        <v>23</v>
      </c>
      <c r="I11" s="918"/>
      <c r="J11" s="918"/>
      <c r="L11" s="174" t="s">
        <v>578</v>
      </c>
      <c r="N11" s="618">
        <f>IF(L11="Quý I",1,IF(L11="Quý II",4,IF(L11="Quý III",7,IF(L11="Quý IV",10,""))))</f>
        <v>10</v>
      </c>
      <c r="O11" s="618">
        <f>IF(L11="Quý I",3,IF(L11="Quý II",6,IF(L11="Quý III",9,IF(L11="Quý IV",12,""))))</f>
        <v>12</v>
      </c>
    </row>
    <row r="12" spans="1:15" s="110" customFormat="1" ht="11.25" customHeight="1">
      <c r="A12" s="111" t="s">
        <v>2</v>
      </c>
      <c r="B12" s="111" t="s">
        <v>3</v>
      </c>
      <c r="C12" s="111" t="s">
        <v>4</v>
      </c>
      <c r="D12" s="111" t="s">
        <v>5</v>
      </c>
      <c r="E12" s="111" t="s">
        <v>6</v>
      </c>
      <c r="F12" s="111" t="s">
        <v>130</v>
      </c>
      <c r="G12" s="111">
        <v>1</v>
      </c>
      <c r="H12" s="111">
        <v>2</v>
      </c>
      <c r="I12" s="111">
        <v>3</v>
      </c>
      <c r="J12" s="111" t="s">
        <v>131</v>
      </c>
      <c r="N12" s="619"/>
      <c r="O12" s="619"/>
    </row>
    <row r="13" spans="1:15" s="112" customFormat="1" ht="21.75" customHeight="1">
      <c r="A13" s="113"/>
      <c r="B13" s="113"/>
      <c r="C13" s="113"/>
      <c r="D13" s="113"/>
      <c r="E13" s="113" t="s">
        <v>132</v>
      </c>
      <c r="F13" s="114"/>
      <c r="G13" s="115"/>
      <c r="H13" s="113"/>
      <c r="I13" s="135">
        <f>IF($L$11="All",CDPS!$C$10,CDPS!$C$10+SUMIF(_N111,"x",TH)-SUMIF(_C111,"x",TH))</f>
        <v>2438216481</v>
      </c>
      <c r="J13" s="113"/>
      <c r="N13" s="620"/>
      <c r="O13" s="620"/>
    </row>
    <row r="14" spans="1:15" ht="21.75" customHeight="1">
      <c r="A14" s="116">
        <f ca="1">IF(ROWS($1:1)&gt;COUNT(Dong1),"",OFFSET(TH!C$1,SMALL(Dong1,ROWS($1:1)),))</f>
        <v>41187</v>
      </c>
      <c r="B14" s="116">
        <f ca="1">IF(ROWS($1:1)&gt;COUNT(Dong1),"",OFFSET(TH!E$1,SMALL(Dong1,ROWS($1:1)),))</f>
        <v>41187</v>
      </c>
      <c r="C14" s="117" t="str">
        <f ca="1">IF(ROWS($1:1)&gt;COUNT(Dong1),"",IF(OFFSET(TH!L$1,SMALL(Dong1,ROWS($1:1)),)="1111",OFFSET(TH!D$1,SMALL(Dong1,ROWS($1:1)),),""))</f>
        <v>T01</v>
      </c>
      <c r="D14" s="118" t="str">
        <f ca="1">IF(ROWS($1:1)&gt;COUNT(Dong1),"",IF(OFFSET(TH!M$1,SMALL(Dong1,ROWS($1:1)),)="1111",OFFSET(TH!D$1,SMALL(Dong1,ROWS($1:1)),),""))</f>
        <v/>
      </c>
      <c r="E14" s="218" t="str">
        <f ca="1">IF(ROWS($1:1)&gt;COUNT(Dong1),"",OFFSET(TH!F$1,SMALL(Dong1,ROWS($1:1)),))</f>
        <v>Rút sec nhập quỹ tiền mặt</v>
      </c>
      <c r="F14" s="120" t="str">
        <f ca="1">IF(ROWS($1:1)&gt;COUNT(Dong1),"",IF(OFFSET(TH!M$1,SMALL(Dong1,ROWS($1:1)),)="1111",OFFSET(TH!L$1,SMALL(Dong1,ROWS($1:1)),),OFFSET(TH!M$1,SMALL(Dong1,ROWS($1:1)),)))</f>
        <v>1121</v>
      </c>
      <c r="G14" s="121">
        <f ca="1">IF(ROWS($1:1)&gt;COUNT(Dong1),"",IF(OFFSET(TH!L$1,SMALL(Dong1,ROWS($1:1)),)="1111",OFFSET(TH!K$1,SMALL(Dong1,ROWS($1:1)),),0))</f>
        <v>28000000</v>
      </c>
      <c r="H14" s="119">
        <f ca="1">IF(ROWS($1:1)&gt;COUNT(Dong1),"",IF(OFFSET(TH!M$1,SMALL(Dong1,ROWS($1:1)),)="1111",OFFSET(TH!K$1,SMALL(Dong1,ROWS($1:1)),),0))</f>
        <v>0</v>
      </c>
      <c r="I14" s="117">
        <f ca="1">IF(E14&lt;&gt;"",I13+G14-H14,0)</f>
        <v>2466216481</v>
      </c>
      <c r="J14" s="122"/>
      <c r="N14" s="621"/>
      <c r="O14" s="621"/>
    </row>
    <row r="15" spans="1:15" ht="21.75" customHeight="1">
      <c r="A15" s="116">
        <f ca="1">IF(ROWS($1:2)&gt;COUNT(Dong1),"",OFFSET(TH!C$1,SMALL(Dong1,ROWS($1:2)),))</f>
        <v>41195</v>
      </c>
      <c r="B15" s="116">
        <f ca="1">IF(ROWS($1:2)&gt;COUNT(Dong1),"",OFFSET(TH!E$1,SMALL(Dong1,ROWS($1:2)),))</f>
        <v>41195</v>
      </c>
      <c r="C15" s="117" t="str">
        <f ca="1">IF(ROWS($1:2)&gt;COUNT(Dong1),"",IF(OFFSET(TH!L$1,SMALL(Dong1,ROWS($1:2)),)="1111",OFFSET(TH!D$1,SMALL(Dong1,ROWS($1:2)),),""))</f>
        <v/>
      </c>
      <c r="D15" s="118" t="str">
        <f ca="1">IF(ROWS($1:2)&gt;COUNT(Dong1),"",IF(OFFSET(TH!M$1,SMALL(Dong1,ROWS($1:2)),)="1111",OFFSET(TH!D$1,SMALL(Dong1,ROWS($1:2)),),""))</f>
        <v>C01</v>
      </c>
      <c r="E15" s="218" t="str">
        <f ca="1">IF(ROWS($1:2)&gt;COUNT(Dong1),"",OFFSET(TH!F$1,SMALL(Dong1,ROWS($1:2)),))</f>
        <v>Thanh toán tiền hàng</v>
      </c>
      <c r="F15" s="120" t="str">
        <f ca="1">IF(ROWS($1:2)&gt;COUNT(Dong1),"",IF(OFFSET(TH!M$1,SMALL(Dong1,ROWS($1:2)),)="1111",OFFSET(TH!L$1,SMALL(Dong1,ROWS($1:2)),),OFFSET(TH!M$1,SMALL(Dong1,ROWS($1:2)),)))</f>
        <v>331</v>
      </c>
      <c r="G15" s="121">
        <f ca="1">IF(ROWS($1:2)&gt;COUNT(Dong1),"",IF(OFFSET(TH!L$1,SMALL(Dong1,ROWS($1:2)),)="1111",OFFSET(TH!K$1,SMALL(Dong1,ROWS($1:2)),),0))</f>
        <v>0</v>
      </c>
      <c r="H15" s="119">
        <f ca="1">IF(ROWS($1:2)&gt;COUNT(Dong1),"",IF(OFFSET(TH!M$1,SMALL(Dong1,ROWS($1:2)),)="1111",OFFSET(TH!K$1,SMALL(Dong1,ROWS($1:2)),),0))</f>
        <v>7012500</v>
      </c>
      <c r="I15" s="117">
        <f t="shared" ref="I15:I49" ca="1" si="0">IF(E15&lt;&gt;"",I14+G15-H15,0)</f>
        <v>2459203981</v>
      </c>
      <c r="J15" s="122"/>
      <c r="N15" s="621"/>
      <c r="O15" s="621"/>
    </row>
    <row r="16" spans="1:15" ht="21.75" customHeight="1">
      <c r="A16" s="116">
        <f ca="1">IF(ROWS($1:3)&gt;COUNT(Dong1),"",OFFSET(TH!C$1,SMALL(Dong1,ROWS($1:3)),))</f>
        <v>41199</v>
      </c>
      <c r="B16" s="116">
        <f ca="1">IF(ROWS($1:3)&gt;COUNT(Dong1),"",OFFSET(TH!E$1,SMALL(Dong1,ROWS($1:3)),))</f>
        <v>41199</v>
      </c>
      <c r="C16" s="117" t="str">
        <f ca="1">IF(ROWS($1:3)&gt;COUNT(Dong1),"",IF(OFFSET(TH!L$1,SMALL(Dong1,ROWS($1:3)),)="1111",OFFSET(TH!D$1,SMALL(Dong1,ROWS($1:3)),),""))</f>
        <v/>
      </c>
      <c r="D16" s="118" t="str">
        <f ca="1">IF(ROWS($1:3)&gt;COUNT(Dong1),"",IF(OFFSET(TH!M$1,SMALL(Dong1,ROWS($1:3)),)="1111",OFFSET(TH!D$1,SMALL(Dong1,ROWS($1:3)),),""))</f>
        <v>C02</v>
      </c>
      <c r="E16" s="218" t="str">
        <f ca="1">IF(ROWS($1:3)&gt;COUNT(Dong1),"",OFFSET(TH!F$1,SMALL(Dong1,ROWS($1:3)),))</f>
        <v>Thuế GTGT hàng sản xuất</v>
      </c>
      <c r="F16" s="120" t="str">
        <f ca="1">IF(ROWS($1:3)&gt;COUNT(Dong1),"",IF(OFFSET(TH!M$1,SMALL(Dong1,ROWS($1:3)),)="1111",OFFSET(TH!L$1,SMALL(Dong1,ROWS($1:3)),),OFFSET(TH!M$1,SMALL(Dong1,ROWS($1:3)),)))</f>
        <v>3388</v>
      </c>
      <c r="G16" s="121">
        <f ca="1">IF(ROWS($1:3)&gt;COUNT(Dong1),"",IF(OFFSET(TH!L$1,SMALL(Dong1,ROWS($1:3)),)="1111",OFFSET(TH!K$1,SMALL(Dong1,ROWS($1:3)),),0))</f>
        <v>0</v>
      </c>
      <c r="H16" s="119">
        <f ca="1">IF(ROWS($1:3)&gt;COUNT(Dong1),"",IF(OFFSET(TH!M$1,SMALL(Dong1,ROWS($1:3)),)="1111",OFFSET(TH!K$1,SMALL(Dong1,ROWS($1:3)),),0))</f>
        <v>366032</v>
      </c>
      <c r="I16" s="117">
        <f t="shared" ca="1" si="0"/>
        <v>2458837949</v>
      </c>
      <c r="J16" s="122"/>
      <c r="N16" s="621"/>
      <c r="O16" s="621"/>
    </row>
    <row r="17" spans="1:15" ht="21.75" customHeight="1">
      <c r="A17" s="116">
        <f ca="1">IF(ROWS($1:4)&gt;COUNT(Dong1),"",OFFSET(TH!C$1,SMALL(Dong1,ROWS($1:4)),))</f>
        <v>41199</v>
      </c>
      <c r="B17" s="116">
        <f ca="1">IF(ROWS($1:4)&gt;COUNT(Dong1),"",OFFSET(TH!E$1,SMALL(Dong1,ROWS($1:4)),))</f>
        <v>41199</v>
      </c>
      <c r="C17" s="117" t="str">
        <f ca="1">IF(ROWS($1:4)&gt;COUNT(Dong1),"",IF(OFFSET(TH!L$1,SMALL(Dong1,ROWS($1:4)),)="1111",OFFSET(TH!D$1,SMALL(Dong1,ROWS($1:4)),),""))</f>
        <v/>
      </c>
      <c r="D17" s="118" t="str">
        <f ca="1">IF(ROWS($1:4)&gt;COUNT(Dong1),"",IF(OFFSET(TH!M$1,SMALL(Dong1,ROWS($1:4)),)="1111",OFFSET(TH!D$1,SMALL(Dong1,ROWS($1:4)),),""))</f>
        <v>C02</v>
      </c>
      <c r="E17" s="218" t="str">
        <f ca="1">IF(ROWS($1:4)&gt;COUNT(Dong1),"",OFFSET(TH!F$1,SMALL(Dong1,ROWS($1:4)),))</f>
        <v>Thuế môn bài</v>
      </c>
      <c r="F17" s="120" t="str">
        <f ca="1">IF(ROWS($1:4)&gt;COUNT(Dong1),"",IF(OFFSET(TH!M$1,SMALL(Dong1,ROWS($1:4)),)="1111",OFFSET(TH!L$1,SMALL(Dong1,ROWS($1:4)),),OFFSET(TH!M$1,SMALL(Dong1,ROWS($1:4)),)))</f>
        <v>33382</v>
      </c>
      <c r="G17" s="121">
        <f ca="1">IF(ROWS($1:4)&gt;COUNT(Dong1),"",IF(OFFSET(TH!L$1,SMALL(Dong1,ROWS($1:4)),)="1111",OFFSET(TH!K$1,SMALL(Dong1,ROWS($1:4)),),0))</f>
        <v>0</v>
      </c>
      <c r="H17" s="119">
        <f ca="1">IF(ROWS($1:4)&gt;COUNT(Dong1),"",IF(OFFSET(TH!M$1,SMALL(Dong1,ROWS($1:4)),)="1111",OFFSET(TH!K$1,SMALL(Dong1,ROWS($1:4)),),0))</f>
        <v>750000</v>
      </c>
      <c r="I17" s="117">
        <f t="shared" ca="1" si="0"/>
        <v>2458087949</v>
      </c>
      <c r="J17" s="122"/>
      <c r="N17" s="621"/>
      <c r="O17" s="621"/>
    </row>
    <row r="18" spans="1:15" ht="21.75" customHeight="1">
      <c r="A18" s="116">
        <f ca="1">IF(ROWS($1:5)&gt;COUNT(Dong1),"",OFFSET(TH!C$1,SMALL(Dong1,ROWS($1:5)),))</f>
        <v>41201</v>
      </c>
      <c r="B18" s="116">
        <f ca="1">IF(ROWS($1:5)&gt;COUNT(Dong1),"",OFFSET(TH!E$1,SMALL(Dong1,ROWS($1:5)),))</f>
        <v>41201</v>
      </c>
      <c r="C18" s="117" t="str">
        <f ca="1">IF(ROWS($1:5)&gt;COUNT(Dong1),"",IF(OFFSET(TH!L$1,SMALL(Dong1,ROWS($1:5)),)="1111",OFFSET(TH!D$1,SMALL(Dong1,ROWS($1:5)),),""))</f>
        <v/>
      </c>
      <c r="D18" s="118" t="str">
        <f ca="1">IF(ROWS($1:5)&gt;COUNT(Dong1),"",IF(OFFSET(TH!M$1,SMALL(Dong1,ROWS($1:5)),)="1111",OFFSET(TH!D$1,SMALL(Dong1,ROWS($1:5)),),""))</f>
        <v>C03</v>
      </c>
      <c r="E18" s="218" t="str">
        <f ca="1">IF(ROWS($1:5)&gt;COUNT(Dong1),"",OFFSET(TH!F$1,SMALL(Dong1,ROWS($1:5)),))</f>
        <v>Phần mềm diệt virut</v>
      </c>
      <c r="F18" s="120" t="str">
        <f ca="1">IF(ROWS($1:5)&gt;COUNT(Dong1),"",IF(OFFSET(TH!M$1,SMALL(Dong1,ROWS($1:5)),)="1111",OFFSET(TH!L$1,SMALL(Dong1,ROWS($1:5)),),OFFSET(TH!M$1,SMALL(Dong1,ROWS($1:5)),)))</f>
        <v>642</v>
      </c>
      <c r="G18" s="121">
        <f ca="1">IF(ROWS($1:5)&gt;COUNT(Dong1),"",IF(OFFSET(TH!L$1,SMALL(Dong1,ROWS($1:5)),)="1111",OFFSET(TH!K$1,SMALL(Dong1,ROWS($1:5)),),0))</f>
        <v>0</v>
      </c>
      <c r="H18" s="119">
        <f ca="1">IF(ROWS($1:5)&gt;COUNT(Dong1),"",IF(OFFSET(TH!M$1,SMALL(Dong1,ROWS($1:5)),)="1111",OFFSET(TH!K$1,SMALL(Dong1,ROWS($1:5)),),0))</f>
        <v>272000</v>
      </c>
      <c r="I18" s="117">
        <f t="shared" ca="1" si="0"/>
        <v>2457815949</v>
      </c>
      <c r="J18" s="122"/>
      <c r="N18" s="621"/>
      <c r="O18" s="621"/>
    </row>
    <row r="19" spans="1:15" ht="21.75" customHeight="1">
      <c r="A19" s="116">
        <f ca="1">IF(ROWS($1:6)&gt;COUNT(Dong1),"",OFFSET(TH!C$1,SMALL(Dong1,ROWS($1:6)),))</f>
        <v>41201</v>
      </c>
      <c r="B19" s="116">
        <f ca="1">IF(ROWS($1:6)&gt;COUNT(Dong1),"",OFFSET(TH!E$1,SMALL(Dong1,ROWS($1:6)),))</f>
        <v>41201</v>
      </c>
      <c r="C19" s="117" t="str">
        <f ca="1">IF(ROWS($1:6)&gt;COUNT(Dong1),"",IF(OFFSET(TH!L$1,SMALL(Dong1,ROWS($1:6)),)="1111",OFFSET(TH!D$1,SMALL(Dong1,ROWS($1:6)),),""))</f>
        <v/>
      </c>
      <c r="D19" s="118" t="str">
        <f ca="1">IF(ROWS($1:6)&gt;COUNT(Dong1),"",IF(OFFSET(TH!M$1,SMALL(Dong1,ROWS($1:6)),)="1111",OFFSET(TH!D$1,SMALL(Dong1,ROWS($1:6)),),""))</f>
        <v>C04</v>
      </c>
      <c r="E19" s="218" t="str">
        <f ca="1">IF(ROWS($1:6)&gt;COUNT(Dong1),"",OFFSET(TH!F$1,SMALL(Dong1,ROWS($1:6)),))</f>
        <v>Thanh toán tiền hàng</v>
      </c>
      <c r="F19" s="120" t="str">
        <f ca="1">IF(ROWS($1:6)&gt;COUNT(Dong1),"",IF(OFFSET(TH!M$1,SMALL(Dong1,ROWS($1:6)),)="1111",OFFSET(TH!L$1,SMALL(Dong1,ROWS($1:6)),),OFFSET(TH!M$1,SMALL(Dong1,ROWS($1:6)),)))</f>
        <v>331</v>
      </c>
      <c r="G19" s="121">
        <f ca="1">IF(ROWS($1:6)&gt;COUNT(Dong1),"",IF(OFFSET(TH!L$1,SMALL(Dong1,ROWS($1:6)),)="1111",OFFSET(TH!K$1,SMALL(Dong1,ROWS($1:6)),),0))</f>
        <v>0</v>
      </c>
      <c r="H19" s="119">
        <f ca="1">IF(ROWS($1:6)&gt;COUNT(Dong1),"",IF(OFFSET(TH!M$1,SMALL(Dong1,ROWS($1:6)),)="1111",OFFSET(TH!K$1,SMALL(Dong1,ROWS($1:6)),),0))</f>
        <v>11097900</v>
      </c>
      <c r="I19" s="117">
        <f t="shared" ca="1" si="0"/>
        <v>2446718049</v>
      </c>
      <c r="J19" s="122"/>
      <c r="N19" s="621"/>
      <c r="O19" s="621"/>
    </row>
    <row r="20" spans="1:15" ht="21.75" customHeight="1">
      <c r="A20" s="116">
        <f ca="1">IF(ROWS($1:7)&gt;COUNT(Dong1),"",OFFSET(TH!C$1,SMALL(Dong1,ROWS($1:7)),))</f>
        <v>41202</v>
      </c>
      <c r="B20" s="116">
        <f ca="1">IF(ROWS($1:7)&gt;COUNT(Dong1),"",OFFSET(TH!E$1,SMALL(Dong1,ROWS($1:7)),))</f>
        <v>41202</v>
      </c>
      <c r="C20" s="117" t="str">
        <f ca="1">IF(ROWS($1:7)&gt;COUNT(Dong1),"",IF(OFFSET(TH!L$1,SMALL(Dong1,ROWS($1:7)),)="1111",OFFSET(TH!D$1,SMALL(Dong1,ROWS($1:7)),),""))</f>
        <v/>
      </c>
      <c r="D20" s="118" t="str">
        <f ca="1">IF(ROWS($1:7)&gt;COUNT(Dong1),"",IF(OFFSET(TH!M$1,SMALL(Dong1,ROWS($1:7)),)="1111",OFFSET(TH!D$1,SMALL(Dong1,ROWS($1:7)),),""))</f>
        <v>C05</v>
      </c>
      <c r="E20" s="218" t="str">
        <f ca="1">IF(ROWS($1:7)&gt;COUNT(Dong1),"",OFFSET(TH!F$1,SMALL(Dong1,ROWS($1:7)),))</f>
        <v>Thanh toán tiền viễn thông</v>
      </c>
      <c r="F20" s="120" t="str">
        <f ca="1">IF(ROWS($1:7)&gt;COUNT(Dong1),"",IF(OFFSET(TH!M$1,SMALL(Dong1,ROWS($1:7)),)="1111",OFFSET(TH!L$1,SMALL(Dong1,ROWS($1:7)),),OFFSET(TH!M$1,SMALL(Dong1,ROWS($1:7)),)))</f>
        <v>642</v>
      </c>
      <c r="G20" s="121">
        <f ca="1">IF(ROWS($1:7)&gt;COUNT(Dong1),"",IF(OFFSET(TH!L$1,SMALL(Dong1,ROWS($1:7)),)="1111",OFFSET(TH!K$1,SMALL(Dong1,ROWS($1:7)),),0))</f>
        <v>0</v>
      </c>
      <c r="H20" s="119">
        <f ca="1">IF(ROWS($1:7)&gt;COUNT(Dong1),"",IF(OFFSET(TH!M$1,SMALL(Dong1,ROWS($1:7)),)="1111",OFFSET(TH!K$1,SMALL(Dong1,ROWS($1:7)),),0))</f>
        <v>250000</v>
      </c>
      <c r="I20" s="117">
        <f t="shared" ca="1" si="0"/>
        <v>2446468049</v>
      </c>
      <c r="J20" s="122"/>
      <c r="N20" s="621"/>
      <c r="O20" s="621"/>
    </row>
    <row r="21" spans="1:15" ht="21.75" customHeight="1">
      <c r="A21" s="116">
        <f ca="1">IF(ROWS($1:8)&gt;COUNT(Dong1),"",OFFSET(TH!C$1,SMALL(Dong1,ROWS($1:8)),))</f>
        <v>41202</v>
      </c>
      <c r="B21" s="116">
        <f ca="1">IF(ROWS($1:8)&gt;COUNT(Dong1),"",OFFSET(TH!E$1,SMALL(Dong1,ROWS($1:8)),))</f>
        <v>41202</v>
      </c>
      <c r="C21" s="117" t="str">
        <f ca="1">IF(ROWS($1:8)&gt;COUNT(Dong1),"",IF(OFFSET(TH!L$1,SMALL(Dong1,ROWS($1:8)),)="1111",OFFSET(TH!D$1,SMALL(Dong1,ROWS($1:8)),),""))</f>
        <v/>
      </c>
      <c r="D21" s="118" t="str">
        <f ca="1">IF(ROWS($1:8)&gt;COUNT(Dong1),"",IF(OFFSET(TH!M$1,SMALL(Dong1,ROWS($1:8)),)="1111",OFFSET(TH!D$1,SMALL(Dong1,ROWS($1:8)),),""))</f>
        <v>C05</v>
      </c>
      <c r="E21" s="218" t="str">
        <f ca="1">IF(ROWS($1:8)&gt;COUNT(Dong1),"",OFFSET(TH!F$1,SMALL(Dong1,ROWS($1:8)),))</f>
        <v>VAT Thanh toán tiền viễn thông</v>
      </c>
      <c r="F21" s="120" t="str">
        <f ca="1">IF(ROWS($1:8)&gt;COUNT(Dong1),"",IF(OFFSET(TH!M$1,SMALL(Dong1,ROWS($1:8)),)="1111",OFFSET(TH!L$1,SMALL(Dong1,ROWS($1:8)),),OFFSET(TH!M$1,SMALL(Dong1,ROWS($1:8)),)))</f>
        <v>1331</v>
      </c>
      <c r="G21" s="121">
        <f ca="1">IF(ROWS($1:8)&gt;COUNT(Dong1),"",IF(OFFSET(TH!L$1,SMALL(Dong1,ROWS($1:8)),)="1111",OFFSET(TH!K$1,SMALL(Dong1,ROWS($1:8)),),0))</f>
        <v>0</v>
      </c>
      <c r="H21" s="119">
        <f ca="1">IF(ROWS($1:8)&gt;COUNT(Dong1),"",IF(OFFSET(TH!M$1,SMALL(Dong1,ROWS($1:8)),)="1111",OFFSET(TH!K$1,SMALL(Dong1,ROWS($1:8)),),0))</f>
        <v>25000</v>
      </c>
      <c r="I21" s="117">
        <f t="shared" ca="1" si="0"/>
        <v>2446443049</v>
      </c>
      <c r="J21" s="122"/>
      <c r="N21" s="621"/>
      <c r="O21" s="621"/>
    </row>
    <row r="22" spans="1:15" ht="21.75" customHeight="1">
      <c r="A22" s="116">
        <f ca="1">IF(ROWS($1:9)&gt;COUNT(Dong1),"",OFFSET(TH!C$1,SMALL(Dong1,ROWS($1:9)),))</f>
        <v>41207</v>
      </c>
      <c r="B22" s="116">
        <f ca="1">IF(ROWS($1:9)&gt;COUNT(Dong1),"",OFFSET(TH!E$1,SMALL(Dong1,ROWS($1:9)),))</f>
        <v>41207</v>
      </c>
      <c r="C22" s="117" t="str">
        <f ca="1">IF(ROWS($1:9)&gt;COUNT(Dong1),"",IF(OFFSET(TH!L$1,SMALL(Dong1,ROWS($1:9)),)="1111",OFFSET(TH!D$1,SMALL(Dong1,ROWS($1:9)),),""))</f>
        <v/>
      </c>
      <c r="D22" s="118" t="str">
        <f ca="1">IF(ROWS($1:9)&gt;COUNT(Dong1),"",IF(OFFSET(TH!M$1,SMALL(Dong1,ROWS($1:9)),)="1111",OFFSET(TH!D$1,SMALL(Dong1,ROWS($1:9)),),""))</f>
        <v>C06</v>
      </c>
      <c r="E22" s="218" t="str">
        <f ca="1">IF(ROWS($1:9)&gt;COUNT(Dong1),"",OFFSET(TH!F$1,SMALL(Dong1,ROWS($1:9)),))</f>
        <v>Thanh toán tiền hàng</v>
      </c>
      <c r="F22" s="120" t="str">
        <f ca="1">IF(ROWS($1:9)&gt;COUNT(Dong1),"",IF(OFFSET(TH!M$1,SMALL(Dong1,ROWS($1:9)),)="1111",OFFSET(TH!L$1,SMALL(Dong1,ROWS($1:9)),),OFFSET(TH!M$1,SMALL(Dong1,ROWS($1:9)),)))</f>
        <v>331</v>
      </c>
      <c r="G22" s="121">
        <f ca="1">IF(ROWS($1:9)&gt;COUNT(Dong1),"",IF(OFFSET(TH!L$1,SMALL(Dong1,ROWS($1:9)),)="1111",OFFSET(TH!K$1,SMALL(Dong1,ROWS($1:9)),),0))</f>
        <v>0</v>
      </c>
      <c r="H22" s="119">
        <f ca="1">IF(ROWS($1:9)&gt;COUNT(Dong1),"",IF(OFFSET(TH!M$1,SMALL(Dong1,ROWS($1:9)),)="1111",OFFSET(TH!K$1,SMALL(Dong1,ROWS($1:9)),),0))</f>
        <v>12818300</v>
      </c>
      <c r="I22" s="117">
        <f t="shared" ca="1" si="0"/>
        <v>2433624749</v>
      </c>
      <c r="J22" s="122"/>
      <c r="N22" s="621"/>
      <c r="O22" s="621"/>
    </row>
    <row r="23" spans="1:15" ht="21.75" customHeight="1">
      <c r="A23" s="116">
        <f ca="1">IF(ROWS($1:10)&gt;COUNT(Dong1),"",OFFSET(TH!C$1,SMALL(Dong1,ROWS($1:10)),))</f>
        <v>41208</v>
      </c>
      <c r="B23" s="116">
        <f ca="1">IF(ROWS($1:10)&gt;COUNT(Dong1),"",OFFSET(TH!E$1,SMALL(Dong1,ROWS($1:10)),))</f>
        <v>41208</v>
      </c>
      <c r="C23" s="117" t="str">
        <f ca="1">IF(ROWS($1:10)&gt;COUNT(Dong1),"",IF(OFFSET(TH!L$1,SMALL(Dong1,ROWS($1:10)),)="1111",OFFSET(TH!D$1,SMALL(Dong1,ROWS($1:10)),),""))</f>
        <v/>
      </c>
      <c r="D23" s="118" t="str">
        <f ca="1">IF(ROWS($1:10)&gt;COUNT(Dong1),"",IF(OFFSET(TH!M$1,SMALL(Dong1,ROWS($1:10)),)="1111",OFFSET(TH!D$1,SMALL(Dong1,ROWS($1:10)),),""))</f>
        <v>C07</v>
      </c>
      <c r="E23" s="218" t="str">
        <f ca="1">IF(ROWS($1:10)&gt;COUNT(Dong1),"",OFFSET(TH!F$1,SMALL(Dong1,ROWS($1:10)),))</f>
        <v>Thanh toán tiền hàng</v>
      </c>
      <c r="F23" s="120" t="str">
        <f ca="1">IF(ROWS($1:10)&gt;COUNT(Dong1),"",IF(OFFSET(TH!M$1,SMALL(Dong1,ROWS($1:10)),)="1111",OFFSET(TH!L$1,SMALL(Dong1,ROWS($1:10)),),OFFSET(TH!M$1,SMALL(Dong1,ROWS($1:10)),)))</f>
        <v>331</v>
      </c>
      <c r="G23" s="121">
        <f ca="1">IF(ROWS($1:10)&gt;COUNT(Dong1),"",IF(OFFSET(TH!L$1,SMALL(Dong1,ROWS($1:10)),)="1111",OFFSET(TH!K$1,SMALL(Dong1,ROWS($1:10)),),0))</f>
        <v>0</v>
      </c>
      <c r="H23" s="119">
        <f ca="1">IF(ROWS($1:10)&gt;COUNT(Dong1),"",IF(OFFSET(TH!M$1,SMALL(Dong1,ROWS($1:10)),)="1111",OFFSET(TH!K$1,SMALL(Dong1,ROWS($1:10)),),0))</f>
        <v>6734882</v>
      </c>
      <c r="I23" s="117">
        <f t="shared" ca="1" si="0"/>
        <v>2426889867</v>
      </c>
      <c r="J23" s="122"/>
      <c r="N23" s="621"/>
      <c r="O23" s="621"/>
    </row>
    <row r="24" spans="1:15" ht="21.75" customHeight="1">
      <c r="A24" s="116">
        <f ca="1">IF(ROWS($1:11)&gt;COUNT(Dong1),"",OFFSET(TH!C$1,SMALL(Dong1,ROWS($1:11)),))</f>
        <v>41209</v>
      </c>
      <c r="B24" s="116">
        <f ca="1">IF(ROWS($1:11)&gt;COUNT(Dong1),"",OFFSET(TH!E$1,SMALL(Dong1,ROWS($1:11)),))</f>
        <v>41209</v>
      </c>
      <c r="C24" s="117" t="str">
        <f ca="1">IF(ROWS($1:11)&gt;COUNT(Dong1),"",IF(OFFSET(TH!L$1,SMALL(Dong1,ROWS($1:11)),)="1111",OFFSET(TH!D$1,SMALL(Dong1,ROWS($1:11)),),""))</f>
        <v/>
      </c>
      <c r="D24" s="118" t="str">
        <f ca="1">IF(ROWS($1:11)&gt;COUNT(Dong1),"",IF(OFFSET(TH!M$1,SMALL(Dong1,ROWS($1:11)),)="1111",OFFSET(TH!D$1,SMALL(Dong1,ROWS($1:11)),),""))</f>
        <v>C08</v>
      </c>
      <c r="E24" s="218" t="str">
        <f ca="1">IF(ROWS($1:11)&gt;COUNT(Dong1),"",OFFSET(TH!F$1,SMALL(Dong1,ROWS($1:11)),))</f>
        <v>Thanh toán tiền hàng</v>
      </c>
      <c r="F24" s="120" t="str">
        <f ca="1">IF(ROWS($1:11)&gt;COUNT(Dong1),"",IF(OFFSET(TH!M$1,SMALL(Dong1,ROWS($1:11)),)="1111",OFFSET(TH!L$1,SMALL(Dong1,ROWS($1:11)),),OFFSET(TH!M$1,SMALL(Dong1,ROWS($1:11)),)))</f>
        <v>331</v>
      </c>
      <c r="G24" s="121">
        <f ca="1">IF(ROWS($1:11)&gt;COUNT(Dong1),"",IF(OFFSET(TH!L$1,SMALL(Dong1,ROWS($1:11)),)="1111",OFFSET(TH!K$1,SMALL(Dong1,ROWS($1:11)),),0))</f>
        <v>0</v>
      </c>
      <c r="H24" s="119">
        <f ca="1">IF(ROWS($1:11)&gt;COUNT(Dong1),"",IF(OFFSET(TH!M$1,SMALL(Dong1,ROWS($1:11)),)="1111",OFFSET(TH!K$1,SMALL(Dong1,ROWS($1:11)),),0))</f>
        <v>13550900</v>
      </c>
      <c r="I24" s="117">
        <f t="shared" ca="1" si="0"/>
        <v>2413338967</v>
      </c>
      <c r="J24" s="122"/>
      <c r="N24" s="621"/>
      <c r="O24" s="621"/>
    </row>
    <row r="25" spans="1:15" ht="21.75" customHeight="1">
      <c r="A25" s="116">
        <f ca="1">IF(ROWS($1:12)&gt;COUNT(Dong1),"",OFFSET(TH!C$1,SMALL(Dong1,ROWS($1:12)),))</f>
        <v>41211</v>
      </c>
      <c r="B25" s="116">
        <f ca="1">IF(ROWS($1:12)&gt;COUNT(Dong1),"",OFFSET(TH!E$1,SMALL(Dong1,ROWS($1:12)),))</f>
        <v>41211</v>
      </c>
      <c r="C25" s="117" t="str">
        <f ca="1">IF(ROWS($1:12)&gt;COUNT(Dong1),"",IF(OFFSET(TH!L$1,SMALL(Dong1,ROWS($1:12)),)="1111",OFFSET(TH!D$1,SMALL(Dong1,ROWS($1:12)),),""))</f>
        <v/>
      </c>
      <c r="D25" s="118" t="str">
        <f ca="1">IF(ROWS($1:12)&gt;COUNT(Dong1),"",IF(OFFSET(TH!M$1,SMALL(Dong1,ROWS($1:12)),)="1111",OFFSET(TH!D$1,SMALL(Dong1,ROWS($1:12)),),""))</f>
        <v>C09</v>
      </c>
      <c r="E25" s="218" t="str">
        <f ca="1">IF(ROWS($1:12)&gt;COUNT(Dong1),"",OFFSET(TH!F$1,SMALL(Dong1,ROWS($1:12)),))</f>
        <v>Mực in</v>
      </c>
      <c r="F25" s="120" t="str">
        <f ca="1">IF(ROWS($1:12)&gt;COUNT(Dong1),"",IF(OFFSET(TH!M$1,SMALL(Dong1,ROWS($1:12)),)="1111",OFFSET(TH!L$1,SMALL(Dong1,ROWS($1:12)),),OFFSET(TH!M$1,SMALL(Dong1,ROWS($1:12)),)))</f>
        <v>154</v>
      </c>
      <c r="G25" s="121">
        <f ca="1">IF(ROWS($1:12)&gt;COUNT(Dong1),"",IF(OFFSET(TH!L$1,SMALL(Dong1,ROWS($1:12)),)="1111",OFFSET(TH!K$1,SMALL(Dong1,ROWS($1:12)),),0))</f>
        <v>0</v>
      </c>
      <c r="H25" s="119">
        <f ca="1">IF(ROWS($1:12)&gt;COUNT(Dong1),"",IF(OFFSET(TH!M$1,SMALL(Dong1,ROWS($1:12)),)="1111",OFFSET(TH!K$1,SMALL(Dong1,ROWS($1:12)),),0))</f>
        <v>1400000</v>
      </c>
      <c r="I25" s="117">
        <f t="shared" ca="1" si="0"/>
        <v>2411938967</v>
      </c>
      <c r="J25" s="122"/>
      <c r="N25" s="621"/>
      <c r="O25" s="621"/>
    </row>
    <row r="26" spans="1:15" ht="21.75" customHeight="1">
      <c r="A26" s="116">
        <f ca="1">IF(ROWS($1:13)&gt;COUNT(Dong1),"",OFFSET(TH!C$1,SMALL(Dong1,ROWS($1:13)),))</f>
        <v>41214</v>
      </c>
      <c r="B26" s="116">
        <f ca="1">IF(ROWS($1:13)&gt;COUNT(Dong1),"",OFFSET(TH!E$1,SMALL(Dong1,ROWS($1:13)),))</f>
        <v>41214</v>
      </c>
      <c r="C26" s="117" t="str">
        <f ca="1">IF(ROWS($1:13)&gt;COUNT(Dong1),"",IF(OFFSET(TH!L$1,SMALL(Dong1,ROWS($1:13)),)="1111",OFFSET(TH!D$1,SMALL(Dong1,ROWS($1:13)),),""))</f>
        <v>T02</v>
      </c>
      <c r="D26" s="118" t="str">
        <f ca="1">IF(ROWS($1:13)&gt;COUNT(Dong1),"",IF(OFFSET(TH!M$1,SMALL(Dong1,ROWS($1:13)),)="1111",OFFSET(TH!D$1,SMALL(Dong1,ROWS($1:13)),),""))</f>
        <v/>
      </c>
      <c r="E26" s="218" t="str">
        <f ca="1">IF(ROWS($1:13)&gt;COUNT(Dong1),"",OFFSET(TH!F$1,SMALL(Dong1,ROWS($1:13)),))</f>
        <v>Rút sec nhập quỹ tiền mặt</v>
      </c>
      <c r="F26" s="120" t="str">
        <f ca="1">IF(ROWS($1:13)&gt;COUNT(Dong1),"",IF(OFFSET(TH!M$1,SMALL(Dong1,ROWS($1:13)),)="1111",OFFSET(TH!L$1,SMALL(Dong1,ROWS($1:13)),),OFFSET(TH!M$1,SMALL(Dong1,ROWS($1:13)),)))</f>
        <v>1121</v>
      </c>
      <c r="G26" s="121">
        <f ca="1">IF(ROWS($1:13)&gt;COUNT(Dong1),"",IF(OFFSET(TH!L$1,SMALL(Dong1,ROWS($1:13)),)="1111",OFFSET(TH!K$1,SMALL(Dong1,ROWS($1:13)),),0))</f>
        <v>31000000</v>
      </c>
      <c r="H26" s="119">
        <f ca="1">IF(ROWS($1:13)&gt;COUNT(Dong1),"",IF(OFFSET(TH!M$1,SMALL(Dong1,ROWS($1:13)),)="1111",OFFSET(TH!K$1,SMALL(Dong1,ROWS($1:13)),),0))</f>
        <v>0</v>
      </c>
      <c r="I26" s="117">
        <f t="shared" ca="1" si="0"/>
        <v>2442938967</v>
      </c>
      <c r="J26" s="122"/>
      <c r="N26" s="621"/>
      <c r="O26" s="621"/>
    </row>
    <row r="27" spans="1:15" ht="21.75" customHeight="1">
      <c r="A27" s="116">
        <f ca="1">IF(ROWS($1:14)&gt;COUNT(Dong1),"",OFFSET(TH!C$1,SMALL(Dong1,ROWS($1:14)),))</f>
        <v>41215</v>
      </c>
      <c r="B27" s="116">
        <f ca="1">IF(ROWS($1:14)&gt;COUNT(Dong1),"",OFFSET(TH!E$1,SMALL(Dong1,ROWS($1:14)),))</f>
        <v>41215</v>
      </c>
      <c r="C27" s="117" t="str">
        <f ca="1">IF(ROWS($1:14)&gt;COUNT(Dong1),"",IF(OFFSET(TH!L$1,SMALL(Dong1,ROWS($1:14)),)="1111",OFFSET(TH!D$1,SMALL(Dong1,ROWS($1:14)),),""))</f>
        <v/>
      </c>
      <c r="D27" s="118" t="str">
        <f ca="1">IF(ROWS($1:14)&gt;COUNT(Dong1),"",IF(OFFSET(TH!M$1,SMALL(Dong1,ROWS($1:14)),)="1111",OFFSET(TH!D$1,SMALL(Dong1,ROWS($1:14)),),""))</f>
        <v>C10</v>
      </c>
      <c r="E27" s="218" t="str">
        <f ca="1">IF(ROWS($1:14)&gt;COUNT(Dong1),"",OFFSET(TH!F$1,SMALL(Dong1,ROWS($1:14)),))</f>
        <v>Thanh toán tiền hàng</v>
      </c>
      <c r="F27" s="120" t="str">
        <f ca="1">IF(ROWS($1:14)&gt;COUNT(Dong1),"",IF(OFFSET(TH!M$1,SMALL(Dong1,ROWS($1:14)),)="1111",OFFSET(TH!L$1,SMALL(Dong1,ROWS($1:14)),),OFFSET(TH!M$1,SMALL(Dong1,ROWS($1:14)),)))</f>
        <v>331</v>
      </c>
      <c r="G27" s="121">
        <f ca="1">IF(ROWS($1:14)&gt;COUNT(Dong1),"",IF(OFFSET(TH!L$1,SMALL(Dong1,ROWS($1:14)),)="1111",OFFSET(TH!K$1,SMALL(Dong1,ROWS($1:14)),),0))</f>
        <v>0</v>
      </c>
      <c r="H27" s="119">
        <f ca="1">IF(ROWS($1:14)&gt;COUNT(Dong1),"",IF(OFFSET(TH!M$1,SMALL(Dong1,ROWS($1:14)),)="1111",OFFSET(TH!K$1,SMALL(Dong1,ROWS($1:14)),),0))</f>
        <v>14025000</v>
      </c>
      <c r="I27" s="117">
        <f t="shared" ca="1" si="0"/>
        <v>2428913967</v>
      </c>
      <c r="J27" s="122"/>
      <c r="N27" s="621"/>
      <c r="O27" s="621"/>
    </row>
    <row r="28" spans="1:15" ht="21.75" customHeight="1">
      <c r="A28" s="116">
        <f ca="1">IF(ROWS($1:15)&gt;COUNT(Dong1),"",OFFSET(TH!C$1,SMALL(Dong1,ROWS($1:15)),))</f>
        <v>41215</v>
      </c>
      <c r="B28" s="116">
        <f ca="1">IF(ROWS($1:15)&gt;COUNT(Dong1),"",OFFSET(TH!E$1,SMALL(Dong1,ROWS($1:15)),))</f>
        <v>41215</v>
      </c>
      <c r="C28" s="117" t="str">
        <f ca="1">IF(ROWS($1:15)&gt;COUNT(Dong1),"",IF(OFFSET(TH!L$1,SMALL(Dong1,ROWS($1:15)),)="1111",OFFSET(TH!D$1,SMALL(Dong1,ROWS($1:15)),),""))</f>
        <v/>
      </c>
      <c r="D28" s="118" t="str">
        <f ca="1">IF(ROWS($1:15)&gt;COUNT(Dong1),"",IF(OFFSET(TH!M$1,SMALL(Dong1,ROWS($1:15)),)="1111",OFFSET(TH!D$1,SMALL(Dong1,ROWS($1:15)),),""))</f>
        <v>C11</v>
      </c>
      <c r="E28" s="218" t="str">
        <f ca="1">IF(ROWS($1:15)&gt;COUNT(Dong1),"",OFFSET(TH!F$1,SMALL(Dong1,ROWS($1:15)),))</f>
        <v>Thanh toán tiền hàng</v>
      </c>
      <c r="F28" s="120" t="str">
        <f ca="1">IF(ROWS($1:15)&gt;COUNT(Dong1),"",IF(OFFSET(TH!M$1,SMALL(Dong1,ROWS($1:15)),)="1111",OFFSET(TH!L$1,SMALL(Dong1,ROWS($1:15)),),OFFSET(TH!M$1,SMALL(Dong1,ROWS($1:15)),)))</f>
        <v>331</v>
      </c>
      <c r="G28" s="121">
        <f ca="1">IF(ROWS($1:15)&gt;COUNT(Dong1),"",IF(OFFSET(TH!L$1,SMALL(Dong1,ROWS($1:15)),)="1111",OFFSET(TH!K$1,SMALL(Dong1,ROWS($1:15)),),0))</f>
        <v>0</v>
      </c>
      <c r="H28" s="119">
        <f ca="1">IF(ROWS($1:15)&gt;COUNT(Dong1),"",IF(OFFSET(TH!M$1,SMALL(Dong1,ROWS($1:15)),)="1111",OFFSET(TH!K$1,SMALL(Dong1,ROWS($1:15)),),0))</f>
        <v>5663900</v>
      </c>
      <c r="I28" s="117">
        <f t="shared" ca="1" si="0"/>
        <v>2423250067</v>
      </c>
      <c r="J28" s="122"/>
      <c r="N28" s="621"/>
      <c r="O28" s="621"/>
    </row>
    <row r="29" spans="1:15" ht="21.75" customHeight="1">
      <c r="A29" s="116">
        <f ca="1">IF(ROWS($1:16)&gt;COUNT(Dong1),"",OFFSET(TH!C$1,SMALL(Dong1,ROWS($1:16)),))</f>
        <v>41220</v>
      </c>
      <c r="B29" s="116">
        <f ca="1">IF(ROWS($1:16)&gt;COUNT(Dong1),"",OFFSET(TH!E$1,SMALL(Dong1,ROWS($1:16)),))</f>
        <v>41220</v>
      </c>
      <c r="C29" s="117" t="str">
        <f ca="1">IF(ROWS($1:16)&gt;COUNT(Dong1),"",IF(OFFSET(TH!L$1,SMALL(Dong1,ROWS($1:16)),)="1111",OFFSET(TH!D$1,SMALL(Dong1,ROWS($1:16)),),""))</f>
        <v/>
      </c>
      <c r="D29" s="118" t="str">
        <f ca="1">IF(ROWS($1:16)&gt;COUNT(Dong1),"",IF(OFFSET(TH!M$1,SMALL(Dong1,ROWS($1:16)),)="1111",OFFSET(TH!D$1,SMALL(Dong1,ROWS($1:16)),),""))</f>
        <v>C12</v>
      </c>
      <c r="E29" s="218" t="str">
        <f ca="1">IF(ROWS($1:16)&gt;COUNT(Dong1),"",OFFSET(TH!F$1,SMALL(Dong1,ROWS($1:16)),))</f>
        <v>Vật dụng phòng khách</v>
      </c>
      <c r="F29" s="120" t="str">
        <f ca="1">IF(ROWS($1:16)&gt;COUNT(Dong1),"",IF(OFFSET(TH!M$1,SMALL(Dong1,ROWS($1:16)),)="1111",OFFSET(TH!L$1,SMALL(Dong1,ROWS($1:16)),),OFFSET(TH!M$1,SMALL(Dong1,ROWS($1:16)),)))</f>
        <v>642</v>
      </c>
      <c r="G29" s="121">
        <f ca="1">IF(ROWS($1:16)&gt;COUNT(Dong1),"",IF(OFFSET(TH!L$1,SMALL(Dong1,ROWS($1:16)),)="1111",OFFSET(TH!K$1,SMALL(Dong1,ROWS($1:16)),),0))</f>
        <v>0</v>
      </c>
      <c r="H29" s="119">
        <f ca="1">IF(ROWS($1:16)&gt;COUNT(Dong1),"",IF(OFFSET(TH!M$1,SMALL(Dong1,ROWS($1:16)),)="1111",OFFSET(TH!K$1,SMALL(Dong1,ROWS($1:16)),),0))</f>
        <v>4845455</v>
      </c>
      <c r="I29" s="117">
        <f t="shared" ca="1" si="0"/>
        <v>2418404612</v>
      </c>
      <c r="J29" s="122"/>
      <c r="N29" s="621"/>
      <c r="O29" s="621"/>
    </row>
    <row r="30" spans="1:15" ht="21.75" customHeight="1">
      <c r="A30" s="116">
        <f ca="1">IF(ROWS($1:17)&gt;COUNT(Dong1),"",OFFSET(TH!C$1,SMALL(Dong1,ROWS($1:17)),))</f>
        <v>41220</v>
      </c>
      <c r="B30" s="116">
        <f ca="1">IF(ROWS($1:17)&gt;COUNT(Dong1),"",OFFSET(TH!E$1,SMALL(Dong1,ROWS($1:17)),))</f>
        <v>41220</v>
      </c>
      <c r="C30" s="117" t="str">
        <f ca="1">IF(ROWS($1:17)&gt;COUNT(Dong1),"",IF(OFFSET(TH!L$1,SMALL(Dong1,ROWS($1:17)),)="1111",OFFSET(TH!D$1,SMALL(Dong1,ROWS($1:17)),),""))</f>
        <v/>
      </c>
      <c r="D30" s="118" t="str">
        <f ca="1">IF(ROWS($1:17)&gt;COUNT(Dong1),"",IF(OFFSET(TH!M$1,SMALL(Dong1,ROWS($1:17)),)="1111",OFFSET(TH!D$1,SMALL(Dong1,ROWS($1:17)),),""))</f>
        <v>C12</v>
      </c>
      <c r="E30" s="218" t="str">
        <f ca="1">IF(ROWS($1:17)&gt;COUNT(Dong1),"",OFFSET(TH!F$1,SMALL(Dong1,ROWS($1:17)),))</f>
        <v>VAT Vật dụng phòng khách</v>
      </c>
      <c r="F30" s="120" t="str">
        <f ca="1">IF(ROWS($1:17)&gt;COUNT(Dong1),"",IF(OFFSET(TH!M$1,SMALL(Dong1,ROWS($1:17)),)="1111",OFFSET(TH!L$1,SMALL(Dong1,ROWS($1:17)),),OFFSET(TH!M$1,SMALL(Dong1,ROWS($1:17)),)))</f>
        <v>1331</v>
      </c>
      <c r="G30" s="121">
        <f ca="1">IF(ROWS($1:17)&gt;COUNT(Dong1),"",IF(OFFSET(TH!L$1,SMALL(Dong1,ROWS($1:17)),)="1111",OFFSET(TH!K$1,SMALL(Dong1,ROWS($1:17)),),0))</f>
        <v>0</v>
      </c>
      <c r="H30" s="119">
        <f ca="1">IF(ROWS($1:17)&gt;COUNT(Dong1),"",IF(OFFSET(TH!M$1,SMALL(Dong1,ROWS($1:17)),)="1111",OFFSET(TH!K$1,SMALL(Dong1,ROWS($1:17)),),0))</f>
        <v>484545</v>
      </c>
      <c r="I30" s="117">
        <f t="shared" ca="1" si="0"/>
        <v>2417920067</v>
      </c>
      <c r="J30" s="122"/>
      <c r="N30" s="621"/>
      <c r="O30" s="621"/>
    </row>
    <row r="31" spans="1:15" ht="21.75" customHeight="1">
      <c r="A31" s="116">
        <f ca="1">IF(ROWS($1:18)&gt;COUNT(Dong1),"",OFFSET(TH!C$1,SMALL(Dong1,ROWS($1:18)),))</f>
        <v>41221</v>
      </c>
      <c r="B31" s="116">
        <f ca="1">IF(ROWS($1:18)&gt;COUNT(Dong1),"",OFFSET(TH!E$1,SMALL(Dong1,ROWS($1:18)),))</f>
        <v>41221</v>
      </c>
      <c r="C31" s="117" t="str">
        <f ca="1">IF(ROWS($1:18)&gt;COUNT(Dong1),"",IF(OFFSET(TH!L$1,SMALL(Dong1,ROWS($1:18)),)="1111",OFFSET(TH!D$1,SMALL(Dong1,ROWS($1:18)),),""))</f>
        <v/>
      </c>
      <c r="D31" s="118" t="str">
        <f ca="1">IF(ROWS($1:18)&gt;COUNT(Dong1),"",IF(OFFSET(TH!M$1,SMALL(Dong1,ROWS($1:18)),)="1111",OFFSET(TH!D$1,SMALL(Dong1,ROWS($1:18)),),""))</f>
        <v>C13</v>
      </c>
      <c r="E31" s="218" t="str">
        <f ca="1">IF(ROWS($1:18)&gt;COUNT(Dong1),"",OFFSET(TH!F$1,SMALL(Dong1,ROWS($1:18)),))</f>
        <v>Vật liệu xây dựng</v>
      </c>
      <c r="F31" s="120" t="str">
        <f ca="1">IF(ROWS($1:18)&gt;COUNT(Dong1),"",IF(OFFSET(TH!M$1,SMALL(Dong1,ROWS($1:18)),)="1111",OFFSET(TH!L$1,SMALL(Dong1,ROWS($1:18)),),OFFSET(TH!M$1,SMALL(Dong1,ROWS($1:18)),)))</f>
        <v>642</v>
      </c>
      <c r="G31" s="121">
        <f ca="1">IF(ROWS($1:18)&gt;COUNT(Dong1),"",IF(OFFSET(TH!L$1,SMALL(Dong1,ROWS($1:18)),)="1111",OFFSET(TH!K$1,SMALL(Dong1,ROWS($1:18)),),0))</f>
        <v>0</v>
      </c>
      <c r="H31" s="119">
        <f ca="1">IF(ROWS($1:18)&gt;COUNT(Dong1),"",IF(OFFSET(TH!M$1,SMALL(Dong1,ROWS($1:18)),)="1111",OFFSET(TH!K$1,SMALL(Dong1,ROWS($1:18)),),0))</f>
        <v>4372550</v>
      </c>
      <c r="I31" s="117">
        <f t="shared" ca="1" si="0"/>
        <v>2413547517</v>
      </c>
      <c r="J31" s="122"/>
      <c r="N31" s="621"/>
      <c r="O31" s="621"/>
    </row>
    <row r="32" spans="1:15" ht="21.75" customHeight="1">
      <c r="A32" s="116">
        <f ca="1">IF(ROWS($1:19)&gt;COUNT(Dong1),"",OFFSET(TH!C$1,SMALL(Dong1,ROWS($1:19)),))</f>
        <v>41221</v>
      </c>
      <c r="B32" s="116">
        <f ca="1">IF(ROWS($1:19)&gt;COUNT(Dong1),"",OFFSET(TH!E$1,SMALL(Dong1,ROWS($1:19)),))</f>
        <v>41221</v>
      </c>
      <c r="C32" s="117" t="str">
        <f ca="1">IF(ROWS($1:19)&gt;COUNT(Dong1),"",IF(OFFSET(TH!L$1,SMALL(Dong1,ROWS($1:19)),)="1111",OFFSET(TH!D$1,SMALL(Dong1,ROWS($1:19)),),""))</f>
        <v/>
      </c>
      <c r="D32" s="118" t="str">
        <f ca="1">IF(ROWS($1:19)&gt;COUNT(Dong1),"",IF(OFFSET(TH!M$1,SMALL(Dong1,ROWS($1:19)),)="1111",OFFSET(TH!D$1,SMALL(Dong1,ROWS($1:19)),),""))</f>
        <v>C13</v>
      </c>
      <c r="E32" s="218" t="str">
        <f ca="1">IF(ROWS($1:19)&gt;COUNT(Dong1),"",OFFSET(TH!F$1,SMALL(Dong1,ROWS($1:19)),))</f>
        <v>VAT Vật liệu xây dựng</v>
      </c>
      <c r="F32" s="120" t="str">
        <f ca="1">IF(ROWS($1:19)&gt;COUNT(Dong1),"",IF(OFFSET(TH!M$1,SMALL(Dong1,ROWS($1:19)),)="1111",OFFSET(TH!L$1,SMALL(Dong1,ROWS($1:19)),),OFFSET(TH!M$1,SMALL(Dong1,ROWS($1:19)),)))</f>
        <v>1331</v>
      </c>
      <c r="G32" s="121">
        <f ca="1">IF(ROWS($1:19)&gt;COUNT(Dong1),"",IF(OFFSET(TH!L$1,SMALL(Dong1,ROWS($1:19)),)="1111",OFFSET(TH!K$1,SMALL(Dong1,ROWS($1:19)),),0))</f>
        <v>0</v>
      </c>
      <c r="H32" s="119">
        <f ca="1">IF(ROWS($1:19)&gt;COUNT(Dong1),"",IF(OFFSET(TH!M$1,SMALL(Dong1,ROWS($1:19)),)="1111",OFFSET(TH!K$1,SMALL(Dong1,ROWS($1:19)),),0))</f>
        <v>437255</v>
      </c>
      <c r="I32" s="117">
        <f t="shared" ca="1" si="0"/>
        <v>2413110262</v>
      </c>
      <c r="J32" s="122"/>
      <c r="N32" s="621"/>
      <c r="O32" s="621"/>
    </row>
    <row r="33" spans="1:15" ht="21.75" customHeight="1">
      <c r="A33" s="116">
        <f ca="1">IF(ROWS($1:20)&gt;COUNT(Dong1),"",OFFSET(TH!C$1,SMALL(Dong1,ROWS($1:20)),))</f>
        <v>41222</v>
      </c>
      <c r="B33" s="116">
        <f ca="1">IF(ROWS($1:20)&gt;COUNT(Dong1),"",OFFSET(TH!E$1,SMALL(Dong1,ROWS($1:20)),))</f>
        <v>41222</v>
      </c>
      <c r="C33" s="117" t="str">
        <f ca="1">IF(ROWS($1:20)&gt;COUNT(Dong1),"",IF(OFFSET(TH!L$1,SMALL(Dong1,ROWS($1:20)),)="1111",OFFSET(TH!D$1,SMALL(Dong1,ROWS($1:20)),),""))</f>
        <v/>
      </c>
      <c r="D33" s="118" t="str">
        <f ca="1">IF(ROWS($1:20)&gt;COUNT(Dong1),"",IF(OFFSET(TH!M$1,SMALL(Dong1,ROWS($1:20)),)="1111",OFFSET(TH!D$1,SMALL(Dong1,ROWS($1:20)),),""))</f>
        <v>C14</v>
      </c>
      <c r="E33" s="218" t="str">
        <f ca="1">IF(ROWS($1:20)&gt;COUNT(Dong1),"",OFFSET(TH!F$1,SMALL(Dong1,ROWS($1:20)),))</f>
        <v>Thuế GTGT hàng sản xuất</v>
      </c>
      <c r="F33" s="120" t="str">
        <f ca="1">IF(ROWS($1:20)&gt;COUNT(Dong1),"",IF(OFFSET(TH!M$1,SMALL(Dong1,ROWS($1:20)),)="1111",OFFSET(TH!L$1,SMALL(Dong1,ROWS($1:20)),),OFFSET(TH!M$1,SMALL(Dong1,ROWS($1:20)),)))</f>
        <v>3388</v>
      </c>
      <c r="G33" s="121">
        <f ca="1">IF(ROWS($1:20)&gt;COUNT(Dong1),"",IF(OFFSET(TH!L$1,SMALL(Dong1,ROWS($1:20)),)="1111",OFFSET(TH!K$1,SMALL(Dong1,ROWS($1:20)),),0))</f>
        <v>0</v>
      </c>
      <c r="H33" s="119">
        <f ca="1">IF(ROWS($1:20)&gt;COUNT(Dong1),"",IF(OFFSET(TH!M$1,SMALL(Dong1,ROWS($1:20)),)="1111",OFFSET(TH!K$1,SMALL(Dong1,ROWS($1:20)),),0))</f>
        <v>505710</v>
      </c>
      <c r="I33" s="117">
        <f t="shared" ca="1" si="0"/>
        <v>2412604552</v>
      </c>
      <c r="J33" s="122"/>
      <c r="N33" s="621"/>
      <c r="O33" s="621"/>
    </row>
    <row r="34" spans="1:15" ht="21.75" customHeight="1">
      <c r="A34" s="116">
        <f ca="1">IF(ROWS($1:21)&gt;COUNT(Dong1),"",OFFSET(TH!C$1,SMALL(Dong1,ROWS($1:21)),))</f>
        <v>41228</v>
      </c>
      <c r="B34" s="116">
        <f ca="1">IF(ROWS($1:21)&gt;COUNT(Dong1),"",OFFSET(TH!E$1,SMALL(Dong1,ROWS($1:21)),))</f>
        <v>41228</v>
      </c>
      <c r="C34" s="117" t="str">
        <f ca="1">IF(ROWS($1:21)&gt;COUNT(Dong1),"",IF(OFFSET(TH!L$1,SMALL(Dong1,ROWS($1:21)),)="1111",OFFSET(TH!D$1,SMALL(Dong1,ROWS($1:21)),),""))</f>
        <v/>
      </c>
      <c r="D34" s="118" t="str">
        <f ca="1">IF(ROWS($1:21)&gt;COUNT(Dong1),"",IF(OFFSET(TH!M$1,SMALL(Dong1,ROWS($1:21)),)="1111",OFFSET(TH!D$1,SMALL(Dong1,ROWS($1:21)),),""))</f>
        <v>C15</v>
      </c>
      <c r="E34" s="218" t="str">
        <f ca="1">IF(ROWS($1:21)&gt;COUNT(Dong1),"",OFFSET(TH!F$1,SMALL(Dong1,ROWS($1:21)),))</f>
        <v>Thanh toán tiền điện</v>
      </c>
      <c r="F34" s="120" t="str">
        <f ca="1">IF(ROWS($1:21)&gt;COUNT(Dong1),"",IF(OFFSET(TH!M$1,SMALL(Dong1,ROWS($1:21)),)="1111",OFFSET(TH!L$1,SMALL(Dong1,ROWS($1:21)),),OFFSET(TH!M$1,SMALL(Dong1,ROWS($1:21)),)))</f>
        <v>642</v>
      </c>
      <c r="G34" s="121">
        <f ca="1">IF(ROWS($1:21)&gt;COUNT(Dong1),"",IF(OFFSET(TH!L$1,SMALL(Dong1,ROWS($1:21)),)="1111",OFFSET(TH!K$1,SMALL(Dong1,ROWS($1:21)),),0))</f>
        <v>0</v>
      </c>
      <c r="H34" s="119">
        <f ca="1">IF(ROWS($1:21)&gt;COUNT(Dong1),"",IF(OFFSET(TH!M$1,SMALL(Dong1,ROWS($1:21)),)="1111",OFFSET(TH!K$1,SMALL(Dong1,ROWS($1:21)),),0))</f>
        <v>809283</v>
      </c>
      <c r="I34" s="117">
        <f t="shared" ca="1" si="0"/>
        <v>2411795269</v>
      </c>
      <c r="J34" s="122"/>
      <c r="N34" s="621"/>
      <c r="O34" s="621"/>
    </row>
    <row r="35" spans="1:15" ht="21.75" customHeight="1">
      <c r="A35" s="116">
        <f ca="1">IF(ROWS($1:22)&gt;COUNT(Dong1),"",OFFSET(TH!C$1,SMALL(Dong1,ROWS($1:22)),))</f>
        <v>41228</v>
      </c>
      <c r="B35" s="116">
        <f ca="1">IF(ROWS($1:22)&gt;COUNT(Dong1),"",OFFSET(TH!E$1,SMALL(Dong1,ROWS($1:22)),))</f>
        <v>41228</v>
      </c>
      <c r="C35" s="117" t="str">
        <f ca="1">IF(ROWS($1:22)&gt;COUNT(Dong1),"",IF(OFFSET(TH!L$1,SMALL(Dong1,ROWS($1:22)),)="1111",OFFSET(TH!D$1,SMALL(Dong1,ROWS($1:22)),),""))</f>
        <v/>
      </c>
      <c r="D35" s="118" t="str">
        <f ca="1">IF(ROWS($1:22)&gt;COUNT(Dong1),"",IF(OFFSET(TH!M$1,SMALL(Dong1,ROWS($1:22)),)="1111",OFFSET(TH!D$1,SMALL(Dong1,ROWS($1:22)),),""))</f>
        <v>C15</v>
      </c>
      <c r="E35" s="218" t="str">
        <f ca="1">IF(ROWS($1:22)&gt;COUNT(Dong1),"",OFFSET(TH!F$1,SMALL(Dong1,ROWS($1:22)),))</f>
        <v>VAT Thanh toán tiền điện</v>
      </c>
      <c r="F35" s="120" t="str">
        <f ca="1">IF(ROWS($1:22)&gt;COUNT(Dong1),"",IF(OFFSET(TH!M$1,SMALL(Dong1,ROWS($1:22)),)="1111",OFFSET(TH!L$1,SMALL(Dong1,ROWS($1:22)),),OFFSET(TH!M$1,SMALL(Dong1,ROWS($1:22)),)))</f>
        <v>1331</v>
      </c>
      <c r="G35" s="121">
        <f ca="1">IF(ROWS($1:22)&gt;COUNT(Dong1),"",IF(OFFSET(TH!L$1,SMALL(Dong1,ROWS($1:22)),)="1111",OFFSET(TH!K$1,SMALL(Dong1,ROWS($1:22)),),0))</f>
        <v>0</v>
      </c>
      <c r="H35" s="119">
        <f ca="1">IF(ROWS($1:22)&gt;COUNT(Dong1),"",IF(OFFSET(TH!M$1,SMALL(Dong1,ROWS($1:22)),)="1111",OFFSET(TH!K$1,SMALL(Dong1,ROWS($1:22)),),0))</f>
        <v>80929</v>
      </c>
      <c r="I35" s="117">
        <f t="shared" ca="1" si="0"/>
        <v>2411714340</v>
      </c>
      <c r="J35" s="122"/>
      <c r="N35" s="621"/>
      <c r="O35" s="621"/>
    </row>
    <row r="36" spans="1:15" ht="21.75" customHeight="1">
      <c r="A36" s="116">
        <f ca="1">IF(ROWS($1:23)&gt;COUNT(Dong1),"",OFFSET(TH!C$1,SMALL(Dong1,ROWS($1:23)),))</f>
        <v>41230</v>
      </c>
      <c r="B36" s="116">
        <f ca="1">IF(ROWS($1:23)&gt;COUNT(Dong1),"",OFFSET(TH!E$1,SMALL(Dong1,ROWS($1:23)),))</f>
        <v>41230</v>
      </c>
      <c r="C36" s="117" t="str">
        <f ca="1">IF(ROWS($1:23)&gt;COUNT(Dong1),"",IF(OFFSET(TH!L$1,SMALL(Dong1,ROWS($1:23)),)="1111",OFFSET(TH!D$1,SMALL(Dong1,ROWS($1:23)),),""))</f>
        <v/>
      </c>
      <c r="D36" s="118" t="str">
        <f ca="1">IF(ROWS($1:23)&gt;COUNT(Dong1),"",IF(OFFSET(TH!M$1,SMALL(Dong1,ROWS($1:23)),)="1111",OFFSET(TH!D$1,SMALL(Dong1,ROWS($1:23)),),""))</f>
        <v>C16</v>
      </c>
      <c r="E36" s="218" t="str">
        <f ca="1">IF(ROWS($1:23)&gt;COUNT(Dong1),"",OFFSET(TH!F$1,SMALL(Dong1,ROWS($1:23)),))</f>
        <v>Thanh toán tiền hàng</v>
      </c>
      <c r="F36" s="120" t="str">
        <f ca="1">IF(ROWS($1:23)&gt;COUNT(Dong1),"",IF(OFFSET(TH!M$1,SMALL(Dong1,ROWS($1:23)),)="1111",OFFSET(TH!L$1,SMALL(Dong1,ROWS($1:23)),),OFFSET(TH!M$1,SMALL(Dong1,ROWS($1:23)),)))</f>
        <v>331</v>
      </c>
      <c r="G36" s="121">
        <f ca="1">IF(ROWS($1:23)&gt;COUNT(Dong1),"",IF(OFFSET(TH!L$1,SMALL(Dong1,ROWS($1:23)),)="1111",OFFSET(TH!K$1,SMALL(Dong1,ROWS($1:23)),),0))</f>
        <v>0</v>
      </c>
      <c r="H36" s="119">
        <f ca="1">IF(ROWS($1:23)&gt;COUNT(Dong1),"",IF(OFFSET(TH!M$1,SMALL(Dong1,ROWS($1:23)),)="1111",OFFSET(TH!K$1,SMALL(Dong1,ROWS($1:23)),),0))</f>
        <v>18991665</v>
      </c>
      <c r="I36" s="117">
        <f t="shared" ca="1" si="0"/>
        <v>2392722675</v>
      </c>
      <c r="J36" s="122"/>
      <c r="N36" s="621"/>
      <c r="O36" s="621"/>
    </row>
    <row r="37" spans="1:15" ht="21.75" customHeight="1">
      <c r="A37" s="116">
        <f ca="1">IF(ROWS($1:24)&gt;COUNT(Dong1),"",OFFSET(TH!C$1,SMALL(Dong1,ROWS($1:24)),))</f>
        <v>41233</v>
      </c>
      <c r="B37" s="116">
        <f ca="1">IF(ROWS($1:24)&gt;COUNT(Dong1),"",OFFSET(TH!E$1,SMALL(Dong1,ROWS($1:24)),))</f>
        <v>41233</v>
      </c>
      <c r="C37" s="117" t="str">
        <f ca="1">IF(ROWS($1:24)&gt;COUNT(Dong1),"",IF(OFFSET(TH!L$1,SMALL(Dong1,ROWS($1:24)),)="1111",OFFSET(TH!D$1,SMALL(Dong1,ROWS($1:24)),),""))</f>
        <v/>
      </c>
      <c r="D37" s="118" t="str">
        <f ca="1">IF(ROWS($1:24)&gt;COUNT(Dong1),"",IF(OFFSET(TH!M$1,SMALL(Dong1,ROWS($1:24)),)="1111",OFFSET(TH!D$1,SMALL(Dong1,ROWS($1:24)),),""))</f>
        <v>C17</v>
      </c>
      <c r="E37" s="218" t="str">
        <f ca="1">IF(ROWS($1:24)&gt;COUNT(Dong1),"",OFFSET(TH!F$1,SMALL(Dong1,ROWS($1:24)),))</f>
        <v>Thanh toán tiền viễn thông</v>
      </c>
      <c r="F37" s="120" t="str">
        <f ca="1">IF(ROWS($1:24)&gt;COUNT(Dong1),"",IF(OFFSET(TH!M$1,SMALL(Dong1,ROWS($1:24)),)="1111",OFFSET(TH!L$1,SMALL(Dong1,ROWS($1:24)),),OFFSET(TH!M$1,SMALL(Dong1,ROWS($1:24)),)))</f>
        <v>642</v>
      </c>
      <c r="G37" s="121">
        <f ca="1">IF(ROWS($1:24)&gt;COUNT(Dong1),"",IF(OFFSET(TH!L$1,SMALL(Dong1,ROWS($1:24)),)="1111",OFFSET(TH!K$1,SMALL(Dong1,ROWS($1:24)),),0))</f>
        <v>0</v>
      </c>
      <c r="H37" s="119">
        <f ca="1">IF(ROWS($1:24)&gt;COUNT(Dong1),"",IF(OFFSET(TH!M$1,SMALL(Dong1,ROWS($1:24)),)="1111",OFFSET(TH!K$1,SMALL(Dong1,ROWS($1:24)),),0))</f>
        <v>254545</v>
      </c>
      <c r="I37" s="117">
        <f t="shared" ca="1" si="0"/>
        <v>2392468130</v>
      </c>
      <c r="J37" s="122"/>
      <c r="N37" s="621"/>
      <c r="O37" s="621"/>
    </row>
    <row r="38" spans="1:15" ht="21.75" customHeight="1">
      <c r="A38" s="116">
        <f ca="1">IF(ROWS($1:25)&gt;COUNT(Dong1),"",OFFSET(TH!C$1,SMALL(Dong1,ROWS($1:25)),))</f>
        <v>41233</v>
      </c>
      <c r="B38" s="116">
        <f ca="1">IF(ROWS($1:25)&gt;COUNT(Dong1),"",OFFSET(TH!E$1,SMALL(Dong1,ROWS($1:25)),))</f>
        <v>41233</v>
      </c>
      <c r="C38" s="117" t="str">
        <f ca="1">IF(ROWS($1:25)&gt;COUNT(Dong1),"",IF(OFFSET(TH!L$1,SMALL(Dong1,ROWS($1:25)),)="1111",OFFSET(TH!D$1,SMALL(Dong1,ROWS($1:25)),),""))</f>
        <v/>
      </c>
      <c r="D38" s="118" t="str">
        <f ca="1">IF(ROWS($1:25)&gt;COUNT(Dong1),"",IF(OFFSET(TH!M$1,SMALL(Dong1,ROWS($1:25)),)="1111",OFFSET(TH!D$1,SMALL(Dong1,ROWS($1:25)),),""))</f>
        <v>C17</v>
      </c>
      <c r="E38" s="218" t="str">
        <f ca="1">IF(ROWS($1:25)&gt;COUNT(Dong1),"",OFFSET(TH!F$1,SMALL(Dong1,ROWS($1:25)),))</f>
        <v>VAT Thanh toán tiền viễn thông</v>
      </c>
      <c r="F38" s="120" t="str">
        <f ca="1">IF(ROWS($1:25)&gt;COUNT(Dong1),"",IF(OFFSET(TH!M$1,SMALL(Dong1,ROWS($1:25)),)="1111",OFFSET(TH!L$1,SMALL(Dong1,ROWS($1:25)),),OFFSET(TH!M$1,SMALL(Dong1,ROWS($1:25)),)))</f>
        <v>1331</v>
      </c>
      <c r="G38" s="121">
        <f ca="1">IF(ROWS($1:25)&gt;COUNT(Dong1),"",IF(OFFSET(TH!L$1,SMALL(Dong1,ROWS($1:25)),)="1111",OFFSET(TH!K$1,SMALL(Dong1,ROWS($1:25)),),0))</f>
        <v>0</v>
      </c>
      <c r="H38" s="119">
        <f ca="1">IF(ROWS($1:25)&gt;COUNT(Dong1),"",IF(OFFSET(TH!M$1,SMALL(Dong1,ROWS($1:25)),)="1111",OFFSET(TH!K$1,SMALL(Dong1,ROWS($1:25)),),0))</f>
        <v>25455</v>
      </c>
      <c r="I38" s="117">
        <f t="shared" ca="1" si="0"/>
        <v>2392442675</v>
      </c>
      <c r="J38" s="122"/>
      <c r="N38" s="621"/>
      <c r="O38" s="621"/>
    </row>
    <row r="39" spans="1:15" ht="21.75" customHeight="1">
      <c r="A39" s="116">
        <f ca="1">IF(ROWS($1:26)&gt;COUNT(Dong1),"",OFFSET(TH!C$1,SMALL(Dong1,ROWS($1:26)),))</f>
        <v>41235</v>
      </c>
      <c r="B39" s="116">
        <f ca="1">IF(ROWS($1:26)&gt;COUNT(Dong1),"",OFFSET(TH!E$1,SMALL(Dong1,ROWS($1:26)),))</f>
        <v>41235</v>
      </c>
      <c r="C39" s="117" t="str">
        <f ca="1">IF(ROWS($1:26)&gt;COUNT(Dong1),"",IF(OFFSET(TH!L$1,SMALL(Dong1,ROWS($1:26)),)="1111",OFFSET(TH!D$1,SMALL(Dong1,ROWS($1:26)),),""))</f>
        <v/>
      </c>
      <c r="D39" s="118" t="str">
        <f ca="1">IF(ROWS($1:26)&gt;COUNT(Dong1),"",IF(OFFSET(TH!M$1,SMALL(Dong1,ROWS($1:26)),)="1111",OFFSET(TH!D$1,SMALL(Dong1,ROWS($1:26)),),""))</f>
        <v>C18</v>
      </c>
      <c r="E39" s="218" t="str">
        <f ca="1">IF(ROWS($1:26)&gt;COUNT(Dong1),"",OFFSET(TH!F$1,SMALL(Dong1,ROWS($1:26)),))</f>
        <v>Thanh toán tiền hàng</v>
      </c>
      <c r="F39" s="120" t="str">
        <f ca="1">IF(ROWS($1:26)&gt;COUNT(Dong1),"",IF(OFFSET(TH!M$1,SMALL(Dong1,ROWS($1:26)),)="1111",OFFSET(TH!L$1,SMALL(Dong1,ROWS($1:26)),),OFFSET(TH!M$1,SMALL(Dong1,ROWS($1:26)),)))</f>
        <v>331</v>
      </c>
      <c r="G39" s="121">
        <f ca="1">IF(ROWS($1:26)&gt;COUNT(Dong1),"",IF(OFFSET(TH!L$1,SMALL(Dong1,ROWS($1:26)),)="1111",OFFSET(TH!K$1,SMALL(Dong1,ROWS($1:26)),),0))</f>
        <v>0</v>
      </c>
      <c r="H39" s="119">
        <f ca="1">IF(ROWS($1:26)&gt;COUNT(Dong1),"",IF(OFFSET(TH!M$1,SMALL(Dong1,ROWS($1:26)),)="1111",OFFSET(TH!K$1,SMALL(Dong1,ROWS($1:26)),),0))</f>
        <v>17016560</v>
      </c>
      <c r="I39" s="117">
        <f t="shared" ca="1" si="0"/>
        <v>2375426115</v>
      </c>
      <c r="J39" s="122"/>
      <c r="N39" s="621"/>
      <c r="O39" s="621"/>
    </row>
    <row r="40" spans="1:15" ht="21.75" customHeight="1">
      <c r="A40" s="116">
        <f ca="1">IF(ROWS($1:27)&gt;COUNT(Dong1),"",OFFSET(TH!C$1,SMALL(Dong1,ROWS($1:27)),))</f>
        <v>41236</v>
      </c>
      <c r="B40" s="116">
        <f ca="1">IF(ROWS($1:27)&gt;COUNT(Dong1),"",OFFSET(TH!E$1,SMALL(Dong1,ROWS($1:27)),))</f>
        <v>41236</v>
      </c>
      <c r="C40" s="117" t="str">
        <f ca="1">IF(ROWS($1:27)&gt;COUNT(Dong1),"",IF(OFFSET(TH!L$1,SMALL(Dong1,ROWS($1:27)),)="1111",OFFSET(TH!D$1,SMALL(Dong1,ROWS($1:27)),),""))</f>
        <v>T03</v>
      </c>
      <c r="D40" s="118" t="str">
        <f ca="1">IF(ROWS($1:27)&gt;COUNT(Dong1),"",IF(OFFSET(TH!M$1,SMALL(Dong1,ROWS($1:27)),)="1111",OFFSET(TH!D$1,SMALL(Dong1,ROWS($1:27)),),""))</f>
        <v/>
      </c>
      <c r="E40" s="218" t="str">
        <f ca="1">IF(ROWS($1:27)&gt;COUNT(Dong1),"",OFFSET(TH!F$1,SMALL(Dong1,ROWS($1:27)),))</f>
        <v>Rút sec nhập quỹ tiền mặt</v>
      </c>
      <c r="F40" s="120" t="str">
        <f ca="1">IF(ROWS($1:27)&gt;COUNT(Dong1),"",IF(OFFSET(TH!M$1,SMALL(Dong1,ROWS($1:27)),)="1111",OFFSET(TH!L$1,SMALL(Dong1,ROWS($1:27)),),OFFSET(TH!M$1,SMALL(Dong1,ROWS($1:27)),)))</f>
        <v>1121</v>
      </c>
      <c r="G40" s="121">
        <f ca="1">IF(ROWS($1:27)&gt;COUNT(Dong1),"",IF(OFFSET(TH!L$1,SMALL(Dong1,ROWS($1:27)),)="1111",OFFSET(TH!K$1,SMALL(Dong1,ROWS($1:27)),),0))</f>
        <v>7500000</v>
      </c>
      <c r="H40" s="119">
        <f ca="1">IF(ROWS($1:27)&gt;COUNT(Dong1),"",IF(OFFSET(TH!M$1,SMALL(Dong1,ROWS($1:27)),)="1111",OFFSET(TH!K$1,SMALL(Dong1,ROWS($1:27)),),0))</f>
        <v>0</v>
      </c>
      <c r="I40" s="117">
        <f t="shared" ca="1" si="0"/>
        <v>2382926115</v>
      </c>
      <c r="J40" s="122"/>
      <c r="N40" s="621"/>
      <c r="O40" s="621"/>
    </row>
    <row r="41" spans="1:15" ht="21.75" customHeight="1">
      <c r="A41" s="116">
        <f ca="1">IF(ROWS($1:28)&gt;COUNT(Dong1),"",OFFSET(TH!C$1,SMALL(Dong1,ROWS($1:28)),))</f>
        <v>41237</v>
      </c>
      <c r="B41" s="116">
        <f ca="1">IF(ROWS($1:28)&gt;COUNT(Dong1),"",OFFSET(TH!E$1,SMALL(Dong1,ROWS($1:28)),))</f>
        <v>41237</v>
      </c>
      <c r="C41" s="117" t="str">
        <f ca="1">IF(ROWS($1:28)&gt;COUNT(Dong1),"",IF(OFFSET(TH!L$1,SMALL(Dong1,ROWS($1:28)),)="1111",OFFSET(TH!D$1,SMALL(Dong1,ROWS($1:28)),),""))</f>
        <v/>
      </c>
      <c r="D41" s="118" t="str">
        <f ca="1">IF(ROWS($1:28)&gt;COUNT(Dong1),"",IF(OFFSET(TH!M$1,SMALL(Dong1,ROWS($1:28)),)="1111",OFFSET(TH!D$1,SMALL(Dong1,ROWS($1:28)),),""))</f>
        <v>C19</v>
      </c>
      <c r="E41" s="218" t="str">
        <f ca="1">IF(ROWS($1:28)&gt;COUNT(Dong1),"",OFFSET(TH!F$1,SMALL(Dong1,ROWS($1:28)),))</f>
        <v>Thanh toán tiền hàng</v>
      </c>
      <c r="F41" s="120" t="str">
        <f ca="1">IF(ROWS($1:28)&gt;COUNT(Dong1),"",IF(OFFSET(TH!M$1,SMALL(Dong1,ROWS($1:28)),)="1111",OFFSET(TH!L$1,SMALL(Dong1,ROWS($1:28)),),OFFSET(TH!M$1,SMALL(Dong1,ROWS($1:28)),)))</f>
        <v>331</v>
      </c>
      <c r="G41" s="121">
        <f ca="1">IF(ROWS($1:28)&gt;COUNT(Dong1),"",IF(OFFSET(TH!L$1,SMALL(Dong1,ROWS($1:28)),)="1111",OFFSET(TH!K$1,SMALL(Dong1,ROWS($1:28)),),0))</f>
        <v>0</v>
      </c>
      <c r="H41" s="119">
        <f ca="1">IF(ROWS($1:28)&gt;COUNT(Dong1),"",IF(OFFSET(TH!M$1,SMALL(Dong1,ROWS($1:28)),)="1111",OFFSET(TH!K$1,SMALL(Dong1,ROWS($1:28)),),0))</f>
        <v>7864859</v>
      </c>
      <c r="I41" s="117">
        <f t="shared" ca="1" si="0"/>
        <v>2375061256</v>
      </c>
      <c r="J41" s="122"/>
      <c r="N41" s="621"/>
      <c r="O41" s="621"/>
    </row>
    <row r="42" spans="1:15" ht="21.75" customHeight="1">
      <c r="A42" s="116">
        <f ca="1">IF(ROWS($1:29)&gt;COUNT(Dong1),"",OFFSET(TH!C$1,SMALL(Dong1,ROWS($1:29)),))</f>
        <v>41237</v>
      </c>
      <c r="B42" s="116">
        <f ca="1">IF(ROWS($1:29)&gt;COUNT(Dong1),"",OFFSET(TH!E$1,SMALL(Dong1,ROWS($1:29)),))</f>
        <v>41237</v>
      </c>
      <c r="C42" s="117" t="str">
        <f ca="1">IF(ROWS($1:29)&gt;COUNT(Dong1),"",IF(OFFSET(TH!L$1,SMALL(Dong1,ROWS($1:29)),)="1111",OFFSET(TH!D$1,SMALL(Dong1,ROWS($1:29)),),""))</f>
        <v/>
      </c>
      <c r="D42" s="118" t="str">
        <f ca="1">IF(ROWS($1:29)&gt;COUNT(Dong1),"",IF(OFFSET(TH!M$1,SMALL(Dong1,ROWS($1:29)),)="1111",OFFSET(TH!D$1,SMALL(Dong1,ROWS($1:29)),),""))</f>
        <v>C20</v>
      </c>
      <c r="E42" s="218" t="str">
        <f ca="1">IF(ROWS($1:29)&gt;COUNT(Dong1),"",OFFSET(TH!F$1,SMALL(Dong1,ROWS($1:29)),))</f>
        <v>Dây mạ kẽm</v>
      </c>
      <c r="F42" s="120" t="str">
        <f ca="1">IF(ROWS($1:29)&gt;COUNT(Dong1),"",IF(OFFSET(TH!M$1,SMALL(Dong1,ROWS($1:29)),)="1111",OFFSET(TH!L$1,SMALL(Dong1,ROWS($1:29)),),OFFSET(TH!M$1,SMALL(Dong1,ROWS($1:29)),)))</f>
        <v>154</v>
      </c>
      <c r="G42" s="121">
        <f ca="1">IF(ROWS($1:29)&gt;COUNT(Dong1),"",IF(OFFSET(TH!L$1,SMALL(Dong1,ROWS($1:29)),)="1111",OFFSET(TH!K$1,SMALL(Dong1,ROWS($1:29)),),0))</f>
        <v>0</v>
      </c>
      <c r="H42" s="119">
        <f ca="1">IF(ROWS($1:29)&gt;COUNT(Dong1),"",IF(OFFSET(TH!M$1,SMALL(Dong1,ROWS($1:29)),)="1111",OFFSET(TH!K$1,SMALL(Dong1,ROWS($1:29)),),0))</f>
        <v>2520000</v>
      </c>
      <c r="I42" s="117">
        <f t="shared" ca="1" si="0"/>
        <v>2372541256</v>
      </c>
      <c r="J42" s="122"/>
      <c r="N42" s="621"/>
      <c r="O42" s="621"/>
    </row>
    <row r="43" spans="1:15" ht="21.75" customHeight="1">
      <c r="A43" s="116">
        <f ca="1">IF(ROWS($1:30)&gt;COUNT(Dong1),"",OFFSET(TH!C$1,SMALL(Dong1,ROWS($1:30)),))</f>
        <v>41237</v>
      </c>
      <c r="B43" s="116">
        <f ca="1">IF(ROWS($1:30)&gt;COUNT(Dong1),"",OFFSET(TH!E$1,SMALL(Dong1,ROWS($1:30)),))</f>
        <v>41237</v>
      </c>
      <c r="C43" s="117" t="str">
        <f ca="1">IF(ROWS($1:30)&gt;COUNT(Dong1),"",IF(OFFSET(TH!L$1,SMALL(Dong1,ROWS($1:30)),)="1111",OFFSET(TH!D$1,SMALL(Dong1,ROWS($1:30)),),""))</f>
        <v/>
      </c>
      <c r="D43" s="118" t="str">
        <f ca="1">IF(ROWS($1:30)&gt;COUNT(Dong1),"",IF(OFFSET(TH!M$1,SMALL(Dong1,ROWS($1:30)),)="1111",OFFSET(TH!D$1,SMALL(Dong1,ROWS($1:30)),),""))</f>
        <v>C20</v>
      </c>
      <c r="E43" s="218" t="str">
        <f ca="1">IF(ROWS($1:30)&gt;COUNT(Dong1),"",OFFSET(TH!F$1,SMALL(Dong1,ROWS($1:30)),))</f>
        <v>VAT Dây mạ kẽm</v>
      </c>
      <c r="F43" s="120" t="str">
        <f ca="1">IF(ROWS($1:30)&gt;COUNT(Dong1),"",IF(OFFSET(TH!M$1,SMALL(Dong1,ROWS($1:30)),)="1111",OFFSET(TH!L$1,SMALL(Dong1,ROWS($1:30)),),OFFSET(TH!M$1,SMALL(Dong1,ROWS($1:30)),)))</f>
        <v>1331</v>
      </c>
      <c r="G43" s="121">
        <f ca="1">IF(ROWS($1:30)&gt;COUNT(Dong1),"",IF(OFFSET(TH!L$1,SMALL(Dong1,ROWS($1:30)),)="1111",OFFSET(TH!K$1,SMALL(Dong1,ROWS($1:30)),),0))</f>
        <v>0</v>
      </c>
      <c r="H43" s="119">
        <f ca="1">IF(ROWS($1:30)&gt;COUNT(Dong1),"",IF(OFFSET(TH!M$1,SMALL(Dong1,ROWS($1:30)),)="1111",OFFSET(TH!K$1,SMALL(Dong1,ROWS($1:30)),),0))</f>
        <v>252000</v>
      </c>
      <c r="I43" s="117">
        <f t="shared" ca="1" si="0"/>
        <v>2372289256</v>
      </c>
      <c r="J43" s="122"/>
      <c r="N43" s="621"/>
      <c r="O43" s="621"/>
    </row>
    <row r="44" spans="1:15" ht="21.75" customHeight="1">
      <c r="A44" s="116">
        <f ca="1">IF(ROWS($1:31)&gt;COUNT(Dong1),"",OFFSET(TH!C$1,SMALL(Dong1,ROWS($1:31)),))</f>
        <v>41242</v>
      </c>
      <c r="B44" s="116">
        <f ca="1">IF(ROWS($1:31)&gt;COUNT(Dong1),"",OFFSET(TH!E$1,SMALL(Dong1,ROWS($1:31)),))</f>
        <v>41242</v>
      </c>
      <c r="C44" s="117" t="str">
        <f ca="1">IF(ROWS($1:31)&gt;COUNT(Dong1),"",IF(OFFSET(TH!L$1,SMALL(Dong1,ROWS($1:31)),)="1111",OFFSET(TH!D$1,SMALL(Dong1,ROWS($1:31)),),""))</f>
        <v/>
      </c>
      <c r="D44" s="118" t="str">
        <f ca="1">IF(ROWS($1:31)&gt;COUNT(Dong1),"",IF(OFFSET(TH!M$1,SMALL(Dong1,ROWS($1:31)),)="1111",OFFSET(TH!D$1,SMALL(Dong1,ROWS($1:31)),),""))</f>
        <v>C21</v>
      </c>
      <c r="E44" s="218" t="str">
        <f ca="1">IF(ROWS($1:31)&gt;COUNT(Dong1),"",OFFSET(TH!F$1,SMALL(Dong1,ROWS($1:31)),))</f>
        <v>Cước vận chuyển</v>
      </c>
      <c r="F44" s="120" t="str">
        <f ca="1">IF(ROWS($1:31)&gt;COUNT(Dong1),"",IF(OFFSET(TH!M$1,SMALL(Dong1,ROWS($1:31)),)="1111",OFFSET(TH!L$1,SMALL(Dong1,ROWS($1:31)),),OFFSET(TH!M$1,SMALL(Dong1,ROWS($1:31)),)))</f>
        <v>642</v>
      </c>
      <c r="G44" s="121">
        <f ca="1">IF(ROWS($1:31)&gt;COUNT(Dong1),"",IF(OFFSET(TH!L$1,SMALL(Dong1,ROWS($1:31)),)="1111",OFFSET(TH!K$1,SMALL(Dong1,ROWS($1:31)),),0))</f>
        <v>0</v>
      </c>
      <c r="H44" s="119">
        <f ca="1">IF(ROWS($1:31)&gt;COUNT(Dong1),"",IF(OFFSET(TH!M$1,SMALL(Dong1,ROWS($1:31)),)="1111",OFFSET(TH!K$1,SMALL(Dong1,ROWS($1:31)),),0))</f>
        <v>3000000</v>
      </c>
      <c r="I44" s="117">
        <f t="shared" ca="1" si="0"/>
        <v>2369289256</v>
      </c>
      <c r="J44" s="122"/>
      <c r="N44" s="621"/>
      <c r="O44" s="621"/>
    </row>
    <row r="45" spans="1:15" ht="21.75" customHeight="1">
      <c r="A45" s="116">
        <f ca="1">IF(ROWS($1:32)&gt;COUNT(Dong1),"",OFFSET(TH!C$1,SMALL(Dong1,ROWS($1:32)),))</f>
        <v>41242</v>
      </c>
      <c r="B45" s="116">
        <f ca="1">IF(ROWS($1:32)&gt;COUNT(Dong1),"",OFFSET(TH!E$1,SMALL(Dong1,ROWS($1:32)),))</f>
        <v>41242</v>
      </c>
      <c r="C45" s="117" t="str">
        <f ca="1">IF(ROWS($1:32)&gt;COUNT(Dong1),"",IF(OFFSET(TH!L$1,SMALL(Dong1,ROWS($1:32)),)="1111",OFFSET(TH!D$1,SMALL(Dong1,ROWS($1:32)),),""))</f>
        <v/>
      </c>
      <c r="D45" s="118" t="str">
        <f ca="1">IF(ROWS($1:32)&gt;COUNT(Dong1),"",IF(OFFSET(TH!M$1,SMALL(Dong1,ROWS($1:32)),)="1111",OFFSET(TH!D$1,SMALL(Dong1,ROWS($1:32)),),""))</f>
        <v>C21</v>
      </c>
      <c r="E45" s="218" t="str">
        <f ca="1">IF(ROWS($1:32)&gt;COUNT(Dong1),"",OFFSET(TH!F$1,SMALL(Dong1,ROWS($1:32)),))</f>
        <v>VAT Cước vận chuyển</v>
      </c>
      <c r="F45" s="120" t="str">
        <f ca="1">IF(ROWS($1:32)&gt;COUNT(Dong1),"",IF(OFFSET(TH!M$1,SMALL(Dong1,ROWS($1:32)),)="1111",OFFSET(TH!L$1,SMALL(Dong1,ROWS($1:32)),),OFFSET(TH!M$1,SMALL(Dong1,ROWS($1:32)),)))</f>
        <v>1331</v>
      </c>
      <c r="G45" s="121">
        <f ca="1">IF(ROWS($1:32)&gt;COUNT(Dong1),"",IF(OFFSET(TH!L$1,SMALL(Dong1,ROWS($1:32)),)="1111",OFFSET(TH!K$1,SMALL(Dong1,ROWS($1:32)),),0))</f>
        <v>0</v>
      </c>
      <c r="H45" s="119">
        <f ca="1">IF(ROWS($1:32)&gt;COUNT(Dong1),"",IF(OFFSET(TH!M$1,SMALL(Dong1,ROWS($1:32)),)="1111",OFFSET(TH!K$1,SMALL(Dong1,ROWS($1:32)),),0))</f>
        <v>300000</v>
      </c>
      <c r="I45" s="117">
        <f t="shared" ca="1" si="0"/>
        <v>2368989256</v>
      </c>
      <c r="J45" s="122"/>
      <c r="N45" s="621"/>
      <c r="O45" s="621"/>
    </row>
    <row r="46" spans="1:15" ht="21.75" customHeight="1">
      <c r="A46" s="116">
        <f ca="1">IF(ROWS($1:33)&gt;COUNT(Dong1),"",OFFSET(TH!C$1,SMALL(Dong1,ROWS($1:33)),))</f>
        <v>41244</v>
      </c>
      <c r="B46" s="116">
        <f ca="1">IF(ROWS($1:33)&gt;COUNT(Dong1),"",OFFSET(TH!E$1,SMALL(Dong1,ROWS($1:33)),))</f>
        <v>41244</v>
      </c>
      <c r="C46" s="117" t="str">
        <f ca="1">IF(ROWS($1:33)&gt;COUNT(Dong1),"",IF(OFFSET(TH!L$1,SMALL(Dong1,ROWS($1:33)),)="1111",OFFSET(TH!D$1,SMALL(Dong1,ROWS($1:33)),),""))</f>
        <v/>
      </c>
      <c r="D46" s="118" t="str">
        <f ca="1">IF(ROWS($1:33)&gt;COUNT(Dong1),"",IF(OFFSET(TH!M$1,SMALL(Dong1,ROWS($1:33)),)="1111",OFFSET(TH!D$1,SMALL(Dong1,ROWS($1:33)),),""))</f>
        <v>C22</v>
      </c>
      <c r="E46" s="218" t="str">
        <f ca="1">IF(ROWS($1:33)&gt;COUNT(Dong1),"",OFFSET(TH!F$1,SMALL(Dong1,ROWS($1:33)),))</f>
        <v>Khung gỗ, mực in</v>
      </c>
      <c r="F46" s="120" t="str">
        <f ca="1">IF(ROWS($1:33)&gt;COUNT(Dong1),"",IF(OFFSET(TH!M$1,SMALL(Dong1,ROWS($1:33)),)="1111",OFFSET(TH!L$1,SMALL(Dong1,ROWS($1:33)),),OFFSET(TH!M$1,SMALL(Dong1,ROWS($1:33)),)))</f>
        <v>154</v>
      </c>
      <c r="G46" s="121">
        <f ca="1">IF(ROWS($1:33)&gt;COUNT(Dong1),"",IF(OFFSET(TH!L$1,SMALL(Dong1,ROWS($1:33)),)="1111",OFFSET(TH!K$1,SMALL(Dong1,ROWS($1:33)),),0))</f>
        <v>0</v>
      </c>
      <c r="H46" s="119">
        <f ca="1">IF(ROWS($1:33)&gt;COUNT(Dong1),"",IF(OFFSET(TH!M$1,SMALL(Dong1,ROWS($1:33)),)="1111",OFFSET(TH!K$1,SMALL(Dong1,ROWS($1:33)),),0))</f>
        <v>1713000</v>
      </c>
      <c r="I46" s="117">
        <f t="shared" ca="1" si="0"/>
        <v>2367276256</v>
      </c>
      <c r="J46" s="122"/>
      <c r="N46" s="621"/>
      <c r="O46" s="621"/>
    </row>
    <row r="47" spans="1:15" ht="21.75" customHeight="1">
      <c r="A47" s="116">
        <f ca="1">IF(ROWS($1:34)&gt;COUNT(Dong1),"",OFFSET(TH!C$1,SMALL(Dong1,ROWS($1:34)),))</f>
        <v>41246</v>
      </c>
      <c r="B47" s="116">
        <f ca="1">IF(ROWS($1:34)&gt;COUNT(Dong1),"",OFFSET(TH!E$1,SMALL(Dong1,ROWS($1:34)),))</f>
        <v>41246</v>
      </c>
      <c r="C47" s="117" t="str">
        <f ca="1">IF(ROWS($1:34)&gt;COUNT(Dong1),"",IF(OFFSET(TH!L$1,SMALL(Dong1,ROWS($1:34)),)="1111",OFFSET(TH!D$1,SMALL(Dong1,ROWS($1:34)),),""))</f>
        <v/>
      </c>
      <c r="D47" s="118" t="str">
        <f ca="1">IF(ROWS($1:34)&gt;COUNT(Dong1),"",IF(OFFSET(TH!M$1,SMALL(Dong1,ROWS($1:34)),)="1111",OFFSET(TH!D$1,SMALL(Dong1,ROWS($1:34)),),""))</f>
        <v>C23</v>
      </c>
      <c r="E47" s="218" t="str">
        <f ca="1">IF(ROWS($1:34)&gt;COUNT(Dong1),"",OFFSET(TH!F$1,SMALL(Dong1,ROWS($1:34)),))</f>
        <v>Thanh toán tiền hàng</v>
      </c>
      <c r="F47" s="120" t="str">
        <f ca="1">IF(ROWS($1:34)&gt;COUNT(Dong1),"",IF(OFFSET(TH!M$1,SMALL(Dong1,ROWS($1:34)),)="1111",OFFSET(TH!L$1,SMALL(Dong1,ROWS($1:34)),),OFFSET(TH!M$1,SMALL(Dong1,ROWS($1:34)),)))</f>
        <v>331</v>
      </c>
      <c r="G47" s="121">
        <f ca="1">IF(ROWS($1:34)&gt;COUNT(Dong1),"",IF(OFFSET(TH!L$1,SMALL(Dong1,ROWS($1:34)),)="1111",OFFSET(TH!K$1,SMALL(Dong1,ROWS($1:34)),),0))</f>
        <v>0</v>
      </c>
      <c r="H47" s="119">
        <f ca="1">IF(ROWS($1:34)&gt;COUNT(Dong1),"",IF(OFFSET(TH!M$1,SMALL(Dong1,ROWS($1:34)),)="1111",OFFSET(TH!K$1,SMALL(Dong1,ROWS($1:34)),),0))</f>
        <v>14686100</v>
      </c>
      <c r="I47" s="117">
        <f t="shared" ca="1" si="0"/>
        <v>2352590156</v>
      </c>
      <c r="J47" s="122"/>
      <c r="N47" s="621"/>
      <c r="O47" s="621"/>
    </row>
    <row r="48" spans="1:15" ht="21.75" customHeight="1">
      <c r="A48" s="116">
        <f ca="1">IF(ROWS($1:35)&gt;COUNT(Dong1),"",OFFSET(TH!C$1,SMALL(Dong1,ROWS($1:35)),))</f>
        <v>41250</v>
      </c>
      <c r="B48" s="116">
        <f ca="1">IF(ROWS($1:35)&gt;COUNT(Dong1),"",OFFSET(TH!E$1,SMALL(Dong1,ROWS($1:35)),))</f>
        <v>41250</v>
      </c>
      <c r="C48" s="117" t="str">
        <f ca="1">IF(ROWS($1:35)&gt;COUNT(Dong1),"",IF(OFFSET(TH!L$1,SMALL(Dong1,ROWS($1:35)),)="1111",OFFSET(TH!D$1,SMALL(Dong1,ROWS($1:35)),),""))</f>
        <v>T04</v>
      </c>
      <c r="D48" s="118" t="str">
        <f ca="1">IF(ROWS($1:35)&gt;COUNT(Dong1),"",IF(OFFSET(TH!M$1,SMALL(Dong1,ROWS($1:35)),)="1111",OFFSET(TH!D$1,SMALL(Dong1,ROWS($1:35)),),""))</f>
        <v/>
      </c>
      <c r="E48" s="218" t="str">
        <f ca="1">IF(ROWS($1:35)&gt;COUNT(Dong1),"",OFFSET(TH!F$1,SMALL(Dong1,ROWS($1:35)),))</f>
        <v>Rút sec nhập quỹ tiền mặt</v>
      </c>
      <c r="F48" s="120" t="str">
        <f ca="1">IF(ROWS($1:35)&gt;COUNT(Dong1),"",IF(OFFSET(TH!M$1,SMALL(Dong1,ROWS($1:35)),)="1111",OFFSET(TH!L$1,SMALL(Dong1,ROWS($1:35)),),OFFSET(TH!M$1,SMALL(Dong1,ROWS($1:35)),)))</f>
        <v>1121</v>
      </c>
      <c r="G48" s="121">
        <f ca="1">IF(ROWS($1:35)&gt;COUNT(Dong1),"",IF(OFFSET(TH!L$1,SMALL(Dong1,ROWS($1:35)),)="1111",OFFSET(TH!K$1,SMALL(Dong1,ROWS($1:35)),),0))</f>
        <v>8400000</v>
      </c>
      <c r="H48" s="119">
        <f ca="1">IF(ROWS($1:35)&gt;COUNT(Dong1),"",IF(OFFSET(TH!M$1,SMALL(Dong1,ROWS($1:35)),)="1111",OFFSET(TH!K$1,SMALL(Dong1,ROWS($1:35)),),0))</f>
        <v>0</v>
      </c>
      <c r="I48" s="117">
        <f t="shared" ca="1" si="0"/>
        <v>2360990156</v>
      </c>
      <c r="J48" s="122"/>
      <c r="N48" s="621"/>
      <c r="O48" s="621"/>
    </row>
    <row r="49" spans="1:15" ht="21.75" customHeight="1">
      <c r="A49" s="116">
        <f ca="1">IF(ROWS($1:36)&gt;COUNT(Dong1),"",OFFSET(TH!C$1,SMALL(Dong1,ROWS($1:36)),))</f>
        <v>41251</v>
      </c>
      <c r="B49" s="116">
        <f ca="1">IF(ROWS($1:36)&gt;COUNT(Dong1),"",OFFSET(TH!E$1,SMALL(Dong1,ROWS($1:36)),))</f>
        <v>41251</v>
      </c>
      <c r="C49" s="117" t="str">
        <f ca="1">IF(ROWS($1:36)&gt;COUNT(Dong1),"",IF(OFFSET(TH!L$1,SMALL(Dong1,ROWS($1:36)),)="1111",OFFSET(TH!D$1,SMALL(Dong1,ROWS($1:36)),),""))</f>
        <v/>
      </c>
      <c r="D49" s="118" t="str">
        <f ca="1">IF(ROWS($1:36)&gt;COUNT(Dong1),"",IF(OFFSET(TH!M$1,SMALL(Dong1,ROWS($1:36)),)="1111",OFFSET(TH!D$1,SMALL(Dong1,ROWS($1:36)),),""))</f>
        <v>C24</v>
      </c>
      <c r="E49" s="218" t="str">
        <f ca="1">IF(ROWS($1:36)&gt;COUNT(Dong1),"",OFFSET(TH!F$1,SMALL(Dong1,ROWS($1:36)),))</f>
        <v>Thanh toán tiền hàng</v>
      </c>
      <c r="F49" s="120" t="str">
        <f ca="1">IF(ROWS($1:36)&gt;COUNT(Dong1),"",IF(OFFSET(TH!M$1,SMALL(Dong1,ROWS($1:36)),)="1111",OFFSET(TH!L$1,SMALL(Dong1,ROWS($1:36)),),OFFSET(TH!M$1,SMALL(Dong1,ROWS($1:36)),)))</f>
        <v>331</v>
      </c>
      <c r="G49" s="121">
        <f ca="1">IF(ROWS($1:36)&gt;COUNT(Dong1),"",IF(OFFSET(TH!L$1,SMALL(Dong1,ROWS($1:36)),)="1111",OFFSET(TH!K$1,SMALL(Dong1,ROWS($1:36)),),0))</f>
        <v>0</v>
      </c>
      <c r="H49" s="119">
        <f ca="1">IF(ROWS($1:36)&gt;COUNT(Dong1),"",IF(OFFSET(TH!M$1,SMALL(Dong1,ROWS($1:36)),)="1111",OFFSET(TH!K$1,SMALL(Dong1,ROWS($1:36)),),0))</f>
        <v>11321200</v>
      </c>
      <c r="I49" s="117">
        <f t="shared" ca="1" si="0"/>
        <v>2349668956</v>
      </c>
      <c r="J49" s="122"/>
      <c r="N49" s="621"/>
      <c r="O49" s="621"/>
    </row>
    <row r="50" spans="1:15" ht="21.75" customHeight="1">
      <c r="A50" s="116">
        <f ca="1">IF(ROWS($1:37)&gt;COUNT(Dong1),"",OFFSET(TH!C$1,SMALL(Dong1,ROWS($1:37)),))</f>
        <v>41255</v>
      </c>
      <c r="B50" s="116">
        <f ca="1">IF(ROWS($1:37)&gt;COUNT(Dong1),"",OFFSET(TH!E$1,SMALL(Dong1,ROWS($1:37)),))</f>
        <v>41255</v>
      </c>
      <c r="C50" s="117" t="str">
        <f ca="1">IF(ROWS($1:37)&gt;COUNT(Dong1),"",IF(OFFSET(TH!L$1,SMALL(Dong1,ROWS($1:37)),)="1111",OFFSET(TH!D$1,SMALL(Dong1,ROWS($1:37)),),""))</f>
        <v/>
      </c>
      <c r="D50" s="118" t="str">
        <f ca="1">IF(ROWS($1:37)&gt;COUNT(Dong1),"",IF(OFFSET(TH!M$1,SMALL(Dong1,ROWS($1:37)),)="1111",OFFSET(TH!D$1,SMALL(Dong1,ROWS($1:37)),),""))</f>
        <v>C25</v>
      </c>
      <c r="E50" s="218" t="str">
        <f ca="1">IF(ROWS($1:37)&gt;COUNT(Dong1),"",OFFSET(TH!F$1,SMALL(Dong1,ROWS($1:37)),))</f>
        <v>Văn phòng phẩm</v>
      </c>
      <c r="F50" s="120" t="str">
        <f ca="1">IF(ROWS($1:37)&gt;COUNT(Dong1),"",IF(OFFSET(TH!M$1,SMALL(Dong1,ROWS($1:37)),)="1111",OFFSET(TH!L$1,SMALL(Dong1,ROWS($1:37)),),OFFSET(TH!M$1,SMALL(Dong1,ROWS($1:37)),)))</f>
        <v>642</v>
      </c>
      <c r="G50" s="121">
        <f ca="1">IF(ROWS($1:37)&gt;COUNT(Dong1),"",IF(OFFSET(TH!L$1,SMALL(Dong1,ROWS($1:37)),)="1111",OFFSET(TH!K$1,SMALL(Dong1,ROWS($1:37)),),0))</f>
        <v>0</v>
      </c>
      <c r="H50" s="119">
        <f ca="1">IF(ROWS($1:37)&gt;COUNT(Dong1),"",IF(OFFSET(TH!M$1,SMALL(Dong1,ROWS($1:37)),)="1111",OFFSET(TH!K$1,SMALL(Dong1,ROWS($1:37)),),0))</f>
        <v>262000</v>
      </c>
      <c r="I50" s="117">
        <f t="shared" ref="I50:I65" ca="1" si="1">IF(E50&lt;&gt;"",I49+G50-H50,0)</f>
        <v>2349406956</v>
      </c>
      <c r="J50" s="122"/>
      <c r="N50" s="621"/>
      <c r="O50" s="621"/>
    </row>
    <row r="51" spans="1:15" ht="21.75" customHeight="1">
      <c r="A51" s="116">
        <f ca="1">IF(ROWS($1:38)&gt;COUNT(Dong1),"",OFFSET(TH!C$1,SMALL(Dong1,ROWS($1:38)),))</f>
        <v>41258</v>
      </c>
      <c r="B51" s="116">
        <f ca="1">IF(ROWS($1:38)&gt;COUNT(Dong1),"",OFFSET(TH!E$1,SMALL(Dong1,ROWS($1:38)),))</f>
        <v>41258</v>
      </c>
      <c r="C51" s="117" t="str">
        <f ca="1">IF(ROWS($1:38)&gt;COUNT(Dong1),"",IF(OFFSET(TH!L$1,SMALL(Dong1,ROWS($1:38)),)="1111",OFFSET(TH!D$1,SMALL(Dong1,ROWS($1:38)),),""))</f>
        <v/>
      </c>
      <c r="D51" s="118" t="str">
        <f ca="1">IF(ROWS($1:38)&gt;COUNT(Dong1),"",IF(OFFSET(TH!M$1,SMALL(Dong1,ROWS($1:38)),)="1111",OFFSET(TH!D$1,SMALL(Dong1,ROWS($1:38)),),""))</f>
        <v>C26</v>
      </c>
      <c r="E51" s="218" t="str">
        <f ca="1">IF(ROWS($1:38)&gt;COUNT(Dong1),"",OFFSET(TH!F$1,SMALL(Dong1,ROWS($1:38)),))</f>
        <v>Thanh toán tiền điện</v>
      </c>
      <c r="F51" s="120" t="str">
        <f ca="1">IF(ROWS($1:38)&gt;COUNT(Dong1),"",IF(OFFSET(TH!M$1,SMALL(Dong1,ROWS($1:38)),)="1111",OFFSET(TH!L$1,SMALL(Dong1,ROWS($1:38)),),OFFSET(TH!M$1,SMALL(Dong1,ROWS($1:38)),)))</f>
        <v>642</v>
      </c>
      <c r="G51" s="121">
        <f ca="1">IF(ROWS($1:38)&gt;COUNT(Dong1),"",IF(OFFSET(TH!L$1,SMALL(Dong1,ROWS($1:38)),)="1111",OFFSET(TH!K$1,SMALL(Dong1,ROWS($1:38)),),0))</f>
        <v>0</v>
      </c>
      <c r="H51" s="119">
        <f ca="1">IF(ROWS($1:38)&gt;COUNT(Dong1),"",IF(OFFSET(TH!M$1,SMALL(Dong1,ROWS($1:38)),)="1111",OFFSET(TH!K$1,SMALL(Dong1,ROWS($1:38)),),0))</f>
        <v>646719</v>
      </c>
      <c r="I51" s="117">
        <f t="shared" ca="1" si="1"/>
        <v>2348760237</v>
      </c>
      <c r="J51" s="122"/>
      <c r="N51" s="621"/>
      <c r="O51" s="621"/>
    </row>
    <row r="52" spans="1:15" ht="21.75" customHeight="1">
      <c r="A52" s="116">
        <f ca="1">IF(ROWS($1:39)&gt;COUNT(Dong1),"",OFFSET(TH!C$1,SMALL(Dong1,ROWS($1:39)),))</f>
        <v>41258</v>
      </c>
      <c r="B52" s="116">
        <f ca="1">IF(ROWS($1:39)&gt;COUNT(Dong1),"",OFFSET(TH!E$1,SMALL(Dong1,ROWS($1:39)),))</f>
        <v>41258</v>
      </c>
      <c r="C52" s="117" t="str">
        <f ca="1">IF(ROWS($1:39)&gt;COUNT(Dong1),"",IF(OFFSET(TH!L$1,SMALL(Dong1,ROWS($1:39)),)="1111",OFFSET(TH!D$1,SMALL(Dong1,ROWS($1:39)),),""))</f>
        <v/>
      </c>
      <c r="D52" s="118" t="str">
        <f ca="1">IF(ROWS($1:39)&gt;COUNT(Dong1),"",IF(OFFSET(TH!M$1,SMALL(Dong1,ROWS($1:39)),)="1111",OFFSET(TH!D$1,SMALL(Dong1,ROWS($1:39)),),""))</f>
        <v>C26</v>
      </c>
      <c r="E52" s="218" t="str">
        <f ca="1">IF(ROWS($1:39)&gt;COUNT(Dong1),"",OFFSET(TH!F$1,SMALL(Dong1,ROWS($1:39)),))</f>
        <v>VAT Thanh toán tiền điện</v>
      </c>
      <c r="F52" s="120" t="str">
        <f ca="1">IF(ROWS($1:39)&gt;COUNT(Dong1),"",IF(OFFSET(TH!M$1,SMALL(Dong1,ROWS($1:39)),)="1111",OFFSET(TH!L$1,SMALL(Dong1,ROWS($1:39)),),OFFSET(TH!M$1,SMALL(Dong1,ROWS($1:39)),)))</f>
        <v>1331</v>
      </c>
      <c r="G52" s="121">
        <f ca="1">IF(ROWS($1:39)&gt;COUNT(Dong1),"",IF(OFFSET(TH!L$1,SMALL(Dong1,ROWS($1:39)),)="1111",OFFSET(TH!K$1,SMALL(Dong1,ROWS($1:39)),),0))</f>
        <v>0</v>
      </c>
      <c r="H52" s="119">
        <f ca="1">IF(ROWS($1:39)&gt;COUNT(Dong1),"",IF(OFFSET(TH!M$1,SMALL(Dong1,ROWS($1:39)),)="1111",OFFSET(TH!K$1,SMALL(Dong1,ROWS($1:39)),),0))</f>
        <v>64672</v>
      </c>
      <c r="I52" s="117">
        <f t="shared" ca="1" si="1"/>
        <v>2348695565</v>
      </c>
      <c r="J52" s="122"/>
      <c r="N52" s="621"/>
      <c r="O52" s="621"/>
    </row>
    <row r="53" spans="1:15" ht="21.75" customHeight="1">
      <c r="A53" s="116">
        <f ca="1">IF(ROWS($1:40)&gt;COUNT(Dong1),"",OFFSET(TH!C$1,SMALL(Dong1,ROWS($1:40)),))</f>
        <v>41260</v>
      </c>
      <c r="B53" s="116">
        <f ca="1">IF(ROWS($1:40)&gt;COUNT(Dong1),"",OFFSET(TH!E$1,SMALL(Dong1,ROWS($1:40)),))</f>
        <v>41260</v>
      </c>
      <c r="C53" s="117" t="str">
        <f ca="1">IF(ROWS($1:40)&gt;COUNT(Dong1),"",IF(OFFSET(TH!L$1,SMALL(Dong1,ROWS($1:40)),)="1111",OFFSET(TH!D$1,SMALL(Dong1,ROWS($1:40)),),""))</f>
        <v/>
      </c>
      <c r="D53" s="118" t="str">
        <f ca="1">IF(ROWS($1:40)&gt;COUNT(Dong1),"",IF(OFFSET(TH!M$1,SMALL(Dong1,ROWS($1:40)),)="1111",OFFSET(TH!D$1,SMALL(Dong1,ROWS($1:40)),),""))</f>
        <v>C27</v>
      </c>
      <c r="E53" s="218" t="str">
        <f ca="1">IF(ROWS($1:40)&gt;COUNT(Dong1),"",OFFSET(TH!F$1,SMALL(Dong1,ROWS($1:40)),))</f>
        <v>Thanh toán tiền viễn thông</v>
      </c>
      <c r="F53" s="120" t="str">
        <f ca="1">IF(ROWS($1:40)&gt;COUNT(Dong1),"",IF(OFFSET(TH!M$1,SMALL(Dong1,ROWS($1:40)),)="1111",OFFSET(TH!L$1,SMALL(Dong1,ROWS($1:40)),),OFFSET(TH!M$1,SMALL(Dong1,ROWS($1:40)),)))</f>
        <v>642</v>
      </c>
      <c r="G53" s="121">
        <f ca="1">IF(ROWS($1:40)&gt;COUNT(Dong1),"",IF(OFFSET(TH!L$1,SMALL(Dong1,ROWS($1:40)),)="1111",OFFSET(TH!K$1,SMALL(Dong1,ROWS($1:40)),),0))</f>
        <v>0</v>
      </c>
      <c r="H53" s="119">
        <f ca="1">IF(ROWS($1:40)&gt;COUNT(Dong1),"",IF(OFFSET(TH!M$1,SMALL(Dong1,ROWS($1:40)),)="1111",OFFSET(TH!K$1,SMALL(Dong1,ROWS($1:40)),),0))</f>
        <v>259090</v>
      </c>
      <c r="I53" s="117">
        <f t="shared" ca="1" si="1"/>
        <v>2348436475</v>
      </c>
      <c r="J53" s="122"/>
      <c r="N53" s="621"/>
      <c r="O53" s="621"/>
    </row>
    <row r="54" spans="1:15" ht="21.75" customHeight="1">
      <c r="A54" s="116">
        <f ca="1">IF(ROWS($1:41)&gt;COUNT(Dong1),"",OFFSET(TH!C$1,SMALL(Dong1,ROWS($1:41)),))</f>
        <v>41260</v>
      </c>
      <c r="B54" s="116">
        <f ca="1">IF(ROWS($1:41)&gt;COUNT(Dong1),"",OFFSET(TH!E$1,SMALL(Dong1,ROWS($1:41)),))</f>
        <v>41260</v>
      </c>
      <c r="C54" s="117" t="str">
        <f ca="1">IF(ROWS($1:41)&gt;COUNT(Dong1),"",IF(OFFSET(TH!L$1,SMALL(Dong1,ROWS($1:41)),)="1111",OFFSET(TH!D$1,SMALL(Dong1,ROWS($1:41)),),""))</f>
        <v/>
      </c>
      <c r="D54" s="118" t="str">
        <f ca="1">IF(ROWS($1:41)&gt;COUNT(Dong1),"",IF(OFFSET(TH!M$1,SMALL(Dong1,ROWS($1:41)),)="1111",OFFSET(TH!D$1,SMALL(Dong1,ROWS($1:41)),),""))</f>
        <v>C27</v>
      </c>
      <c r="E54" s="218" t="str">
        <f ca="1">IF(ROWS($1:41)&gt;COUNT(Dong1),"",OFFSET(TH!F$1,SMALL(Dong1,ROWS($1:41)),))</f>
        <v>VAT Thanh toán tiền viễn thông</v>
      </c>
      <c r="F54" s="120" t="str">
        <f ca="1">IF(ROWS($1:41)&gt;COUNT(Dong1),"",IF(OFFSET(TH!M$1,SMALL(Dong1,ROWS($1:41)),)="1111",OFFSET(TH!L$1,SMALL(Dong1,ROWS($1:41)),),OFFSET(TH!M$1,SMALL(Dong1,ROWS($1:41)),)))</f>
        <v>1331</v>
      </c>
      <c r="G54" s="121">
        <f ca="1">IF(ROWS($1:41)&gt;COUNT(Dong1),"",IF(OFFSET(TH!L$1,SMALL(Dong1,ROWS($1:41)),)="1111",OFFSET(TH!K$1,SMALL(Dong1,ROWS($1:41)),),0))</f>
        <v>0</v>
      </c>
      <c r="H54" s="119">
        <f ca="1">IF(ROWS($1:41)&gt;COUNT(Dong1),"",IF(OFFSET(TH!M$1,SMALL(Dong1,ROWS($1:41)),)="1111",OFFSET(TH!K$1,SMALL(Dong1,ROWS($1:41)),),0))</f>
        <v>25910</v>
      </c>
      <c r="I54" s="117">
        <f t="shared" ca="1" si="1"/>
        <v>2348410565</v>
      </c>
      <c r="J54" s="122"/>
      <c r="N54" s="621"/>
      <c r="O54" s="621"/>
    </row>
    <row r="55" spans="1:15" ht="21.75" customHeight="1">
      <c r="A55" s="116">
        <f ca="1">IF(ROWS($1:42)&gt;COUNT(Dong1),"",OFFSET(TH!C$1,SMALL(Dong1,ROWS($1:42)),))</f>
        <v>41269</v>
      </c>
      <c r="B55" s="116">
        <f ca="1">IF(ROWS($1:42)&gt;COUNT(Dong1),"",OFFSET(TH!E$1,SMALL(Dong1,ROWS($1:42)),))</f>
        <v>41269</v>
      </c>
      <c r="C55" s="117" t="str">
        <f ca="1">IF(ROWS($1:42)&gt;COUNT(Dong1),"",IF(OFFSET(TH!L$1,SMALL(Dong1,ROWS($1:42)),)="1111",OFFSET(TH!D$1,SMALL(Dong1,ROWS($1:42)),),""))</f>
        <v/>
      </c>
      <c r="D55" s="118" t="str">
        <f ca="1">IF(ROWS($1:42)&gt;COUNT(Dong1),"",IF(OFFSET(TH!M$1,SMALL(Dong1,ROWS($1:42)),)="1111",OFFSET(TH!D$1,SMALL(Dong1,ROWS($1:42)),),""))</f>
        <v>C28</v>
      </c>
      <c r="E55" s="218" t="str">
        <f ca="1">IF(ROWS($1:42)&gt;COUNT(Dong1),"",OFFSET(TH!F$1,SMALL(Dong1,ROWS($1:42)),))</f>
        <v>Chi phí tiếp khách</v>
      </c>
      <c r="F55" s="120" t="str">
        <f ca="1">IF(ROWS($1:42)&gt;COUNT(Dong1),"",IF(OFFSET(TH!M$1,SMALL(Dong1,ROWS($1:42)),)="1111",OFFSET(TH!L$1,SMALL(Dong1,ROWS($1:42)),),OFFSET(TH!M$1,SMALL(Dong1,ROWS($1:42)),)))</f>
        <v>642</v>
      </c>
      <c r="G55" s="121">
        <f ca="1">IF(ROWS($1:42)&gt;COUNT(Dong1),"",IF(OFFSET(TH!L$1,SMALL(Dong1,ROWS($1:42)),)="1111",OFFSET(TH!K$1,SMALL(Dong1,ROWS($1:42)),),0))</f>
        <v>0</v>
      </c>
      <c r="H55" s="119">
        <f ca="1">IF(ROWS($1:42)&gt;COUNT(Dong1),"",IF(OFFSET(TH!M$1,SMALL(Dong1,ROWS($1:42)),)="1111",OFFSET(TH!K$1,SMALL(Dong1,ROWS($1:42)),),0))</f>
        <v>3181818</v>
      </c>
      <c r="I55" s="117">
        <f t="shared" ca="1" si="1"/>
        <v>2345228747</v>
      </c>
      <c r="J55" s="122"/>
      <c r="N55" s="621"/>
      <c r="O55" s="621"/>
    </row>
    <row r="56" spans="1:15" ht="21.75" customHeight="1">
      <c r="A56" s="116">
        <f ca="1">IF(ROWS($1:43)&gt;COUNT(Dong1),"",OFFSET(TH!C$1,SMALL(Dong1,ROWS($1:43)),))</f>
        <v>41269</v>
      </c>
      <c r="B56" s="116">
        <f ca="1">IF(ROWS($1:43)&gt;COUNT(Dong1),"",OFFSET(TH!E$1,SMALL(Dong1,ROWS($1:43)),))</f>
        <v>41269</v>
      </c>
      <c r="C56" s="117" t="str">
        <f ca="1">IF(ROWS($1:43)&gt;COUNT(Dong1),"",IF(OFFSET(TH!L$1,SMALL(Dong1,ROWS($1:43)),)="1111",OFFSET(TH!D$1,SMALL(Dong1,ROWS($1:43)),),""))</f>
        <v/>
      </c>
      <c r="D56" s="118" t="str">
        <f ca="1">IF(ROWS($1:43)&gt;COUNT(Dong1),"",IF(OFFSET(TH!M$1,SMALL(Dong1,ROWS($1:43)),)="1111",OFFSET(TH!D$1,SMALL(Dong1,ROWS($1:43)),),""))</f>
        <v>C28</v>
      </c>
      <c r="E56" s="218" t="str">
        <f ca="1">IF(ROWS($1:43)&gt;COUNT(Dong1),"",OFFSET(TH!F$1,SMALL(Dong1,ROWS($1:43)),))</f>
        <v>VAT Chi phí tiếp khách</v>
      </c>
      <c r="F56" s="120" t="str">
        <f ca="1">IF(ROWS($1:43)&gt;COUNT(Dong1),"",IF(OFFSET(TH!M$1,SMALL(Dong1,ROWS($1:43)),)="1111",OFFSET(TH!L$1,SMALL(Dong1,ROWS($1:43)),),OFFSET(TH!M$1,SMALL(Dong1,ROWS($1:43)),)))</f>
        <v>1331</v>
      </c>
      <c r="G56" s="121">
        <f ca="1">IF(ROWS($1:43)&gt;COUNT(Dong1),"",IF(OFFSET(TH!L$1,SMALL(Dong1,ROWS($1:43)),)="1111",OFFSET(TH!K$1,SMALL(Dong1,ROWS($1:43)),),0))</f>
        <v>0</v>
      </c>
      <c r="H56" s="119">
        <f ca="1">IF(ROWS($1:43)&gt;COUNT(Dong1),"",IF(OFFSET(TH!M$1,SMALL(Dong1,ROWS($1:43)),)="1111",OFFSET(TH!K$1,SMALL(Dong1,ROWS($1:43)),),0))</f>
        <v>318182</v>
      </c>
      <c r="I56" s="117">
        <f t="shared" ca="1" si="1"/>
        <v>2344910565</v>
      </c>
      <c r="J56" s="122"/>
      <c r="N56" s="621"/>
      <c r="O56" s="621"/>
    </row>
    <row r="57" spans="1:15" ht="21.75" customHeight="1">
      <c r="A57" s="116">
        <f ca="1">IF(ROWS($1:44)&gt;COUNT(Dong1),"",OFFSET(TH!C$1,SMALL(Dong1,ROWS($1:44)),))</f>
        <v>41271</v>
      </c>
      <c r="B57" s="116">
        <f ca="1">IF(ROWS($1:44)&gt;COUNT(Dong1),"",OFFSET(TH!E$1,SMALL(Dong1,ROWS($1:44)),))</f>
        <v>41271</v>
      </c>
      <c r="C57" s="117" t="str">
        <f ca="1">IF(ROWS($1:44)&gt;COUNT(Dong1),"",IF(OFFSET(TH!L$1,SMALL(Dong1,ROWS($1:44)),)="1111",OFFSET(TH!D$1,SMALL(Dong1,ROWS($1:44)),),""))</f>
        <v>T05</v>
      </c>
      <c r="D57" s="118" t="str">
        <f ca="1">IF(ROWS($1:44)&gt;COUNT(Dong1),"",IF(OFFSET(TH!M$1,SMALL(Dong1,ROWS($1:44)),)="1111",OFFSET(TH!D$1,SMALL(Dong1,ROWS($1:44)),),""))</f>
        <v/>
      </c>
      <c r="E57" s="218" t="str">
        <f ca="1">IF(ROWS($1:44)&gt;COUNT(Dong1),"",OFFSET(TH!F$1,SMALL(Dong1,ROWS($1:44)),))</f>
        <v>Rút sec nhập quỹ tiền mặt</v>
      </c>
      <c r="F57" s="120" t="str">
        <f ca="1">IF(ROWS($1:44)&gt;COUNT(Dong1),"",IF(OFFSET(TH!M$1,SMALL(Dong1,ROWS($1:44)),)="1111",OFFSET(TH!L$1,SMALL(Dong1,ROWS($1:44)),),OFFSET(TH!M$1,SMALL(Dong1,ROWS($1:44)),)))</f>
        <v>1121</v>
      </c>
      <c r="G57" s="121">
        <f ca="1">IF(ROWS($1:44)&gt;COUNT(Dong1),"",IF(OFFSET(TH!L$1,SMALL(Dong1,ROWS($1:44)),)="1111",OFFSET(TH!K$1,SMALL(Dong1,ROWS($1:44)),),0))</f>
        <v>19000000</v>
      </c>
      <c r="H57" s="119">
        <f ca="1">IF(ROWS($1:44)&gt;COUNT(Dong1),"",IF(OFFSET(TH!M$1,SMALL(Dong1,ROWS($1:44)),)="1111",OFFSET(TH!K$1,SMALL(Dong1,ROWS($1:44)),),0))</f>
        <v>0</v>
      </c>
      <c r="I57" s="117">
        <f t="shared" ca="1" si="1"/>
        <v>2363910565</v>
      </c>
      <c r="J57" s="122"/>
      <c r="N57" s="621"/>
      <c r="O57" s="621"/>
    </row>
    <row r="58" spans="1:15" ht="21.75" customHeight="1">
      <c r="A58" s="116">
        <f ca="1">IF(ROWS($1:45)&gt;COUNT(Dong1),"",OFFSET(TH!C$1,SMALL(Dong1,ROWS($1:45)),))</f>
        <v>41271</v>
      </c>
      <c r="B58" s="116">
        <f ca="1">IF(ROWS($1:45)&gt;COUNT(Dong1),"",OFFSET(TH!E$1,SMALL(Dong1,ROWS($1:45)),))</f>
        <v>41271</v>
      </c>
      <c r="C58" s="117" t="str">
        <f ca="1">IF(ROWS($1:45)&gt;COUNT(Dong1),"",IF(OFFSET(TH!L$1,SMALL(Dong1,ROWS($1:45)),)="1111",OFFSET(TH!D$1,SMALL(Dong1,ROWS($1:45)),),""))</f>
        <v/>
      </c>
      <c r="D58" s="118" t="str">
        <f ca="1">IF(ROWS($1:45)&gt;COUNT(Dong1),"",IF(OFFSET(TH!M$1,SMALL(Dong1,ROWS($1:45)),)="1111",OFFSET(TH!D$1,SMALL(Dong1,ROWS($1:45)),),""))</f>
        <v>C29</v>
      </c>
      <c r="E58" s="218" t="str">
        <f ca="1">IF(ROWS($1:45)&gt;COUNT(Dong1),"",OFFSET(TH!F$1,SMALL(Dong1,ROWS($1:45)),))</f>
        <v>Chi phí tiếp khách</v>
      </c>
      <c r="F58" s="120" t="str">
        <f ca="1">IF(ROWS($1:45)&gt;COUNT(Dong1),"",IF(OFFSET(TH!M$1,SMALL(Dong1,ROWS($1:45)),)="1111",OFFSET(TH!L$1,SMALL(Dong1,ROWS($1:45)),),OFFSET(TH!M$1,SMALL(Dong1,ROWS($1:45)),)))</f>
        <v>642</v>
      </c>
      <c r="G58" s="121">
        <f ca="1">IF(ROWS($1:45)&gt;COUNT(Dong1),"",IF(OFFSET(TH!L$1,SMALL(Dong1,ROWS($1:45)),)="1111",OFFSET(TH!K$1,SMALL(Dong1,ROWS($1:45)),),0))</f>
        <v>0</v>
      </c>
      <c r="H58" s="119">
        <f ca="1">IF(ROWS($1:45)&gt;COUNT(Dong1),"",IF(OFFSET(TH!M$1,SMALL(Dong1,ROWS($1:45)),)="1111",OFFSET(TH!K$1,SMALL(Dong1,ROWS($1:45)),),0))</f>
        <v>3363636</v>
      </c>
      <c r="I58" s="117">
        <f t="shared" ca="1" si="1"/>
        <v>2360546929</v>
      </c>
      <c r="J58" s="122"/>
      <c r="N58" s="621"/>
      <c r="O58" s="621"/>
    </row>
    <row r="59" spans="1:15" ht="21.75" customHeight="1">
      <c r="A59" s="116">
        <f ca="1">IF(ROWS($1:46)&gt;COUNT(Dong1),"",OFFSET(TH!C$1,SMALL(Dong1,ROWS($1:46)),))</f>
        <v>41271</v>
      </c>
      <c r="B59" s="116">
        <f ca="1">IF(ROWS($1:46)&gt;COUNT(Dong1),"",OFFSET(TH!E$1,SMALL(Dong1,ROWS($1:46)),))</f>
        <v>41271</v>
      </c>
      <c r="C59" s="117" t="str">
        <f ca="1">IF(ROWS($1:46)&gt;COUNT(Dong1),"",IF(OFFSET(TH!L$1,SMALL(Dong1,ROWS($1:46)),)="1111",OFFSET(TH!D$1,SMALL(Dong1,ROWS($1:46)),),""))</f>
        <v/>
      </c>
      <c r="D59" s="118" t="str">
        <f ca="1">IF(ROWS($1:46)&gt;COUNT(Dong1),"",IF(OFFSET(TH!M$1,SMALL(Dong1,ROWS($1:46)),)="1111",OFFSET(TH!D$1,SMALL(Dong1,ROWS($1:46)),),""))</f>
        <v>C29</v>
      </c>
      <c r="E59" s="218" t="str">
        <f ca="1">IF(ROWS($1:46)&gt;COUNT(Dong1),"",OFFSET(TH!F$1,SMALL(Dong1,ROWS($1:46)),))</f>
        <v>VAT Chi phí tiếp khách</v>
      </c>
      <c r="F59" s="120" t="str">
        <f ca="1">IF(ROWS($1:46)&gt;COUNT(Dong1),"",IF(OFFSET(TH!M$1,SMALL(Dong1,ROWS($1:46)),)="1111",OFFSET(TH!L$1,SMALL(Dong1,ROWS($1:46)),),OFFSET(TH!M$1,SMALL(Dong1,ROWS($1:46)),)))</f>
        <v>1331</v>
      </c>
      <c r="G59" s="121">
        <f ca="1">IF(ROWS($1:46)&gt;COUNT(Dong1),"",IF(OFFSET(TH!L$1,SMALL(Dong1,ROWS($1:46)),)="1111",OFFSET(TH!K$1,SMALL(Dong1,ROWS($1:46)),),0))</f>
        <v>0</v>
      </c>
      <c r="H59" s="119">
        <f ca="1">IF(ROWS($1:46)&gt;COUNT(Dong1),"",IF(OFFSET(TH!M$1,SMALL(Dong1,ROWS($1:46)),)="1111",OFFSET(TH!K$1,SMALL(Dong1,ROWS($1:46)),),0))</f>
        <v>336364</v>
      </c>
      <c r="I59" s="117">
        <f t="shared" ca="1" si="1"/>
        <v>2360210565</v>
      </c>
      <c r="J59" s="122"/>
      <c r="N59" s="621"/>
      <c r="O59" s="621"/>
    </row>
    <row r="60" spans="1:15" ht="21.75" customHeight="1">
      <c r="A60" s="116">
        <f ca="1">IF(ROWS($1:47)&gt;COUNT(Dong1),"",OFFSET(TH!C$1,SMALL(Dong1,ROWS($1:47)),))</f>
        <v>41273</v>
      </c>
      <c r="B60" s="116">
        <f ca="1">IF(ROWS($1:47)&gt;COUNT(Dong1),"",OFFSET(TH!E$1,SMALL(Dong1,ROWS($1:47)),))</f>
        <v>41273</v>
      </c>
      <c r="C60" s="117" t="str">
        <f ca="1">IF(ROWS($1:47)&gt;COUNT(Dong1),"",IF(OFFSET(TH!L$1,SMALL(Dong1,ROWS($1:47)),)="1111",OFFSET(TH!D$1,SMALL(Dong1,ROWS($1:47)),),""))</f>
        <v/>
      </c>
      <c r="D60" s="118" t="str">
        <f ca="1">IF(ROWS($1:47)&gt;COUNT(Dong1),"",IF(OFFSET(TH!M$1,SMALL(Dong1,ROWS($1:47)),)="1111",OFFSET(TH!D$1,SMALL(Dong1,ROWS($1:47)),),""))</f>
        <v>C30</v>
      </c>
      <c r="E60" s="218" t="str">
        <f ca="1">IF(ROWS($1:47)&gt;COUNT(Dong1),"",OFFSET(TH!F$1,SMALL(Dong1,ROWS($1:47)),))</f>
        <v>Thanh toán tiền hàng</v>
      </c>
      <c r="F60" s="120" t="str">
        <f ca="1">IF(ROWS($1:47)&gt;COUNT(Dong1),"",IF(OFFSET(TH!M$1,SMALL(Dong1,ROWS($1:47)),)="1111",OFFSET(TH!L$1,SMALL(Dong1,ROWS($1:47)),),OFFSET(TH!M$1,SMALL(Dong1,ROWS($1:47)),)))</f>
        <v>331</v>
      </c>
      <c r="G60" s="121">
        <f ca="1">IF(ROWS($1:47)&gt;COUNT(Dong1),"",IF(OFFSET(TH!L$1,SMALL(Dong1,ROWS($1:47)),)="1111",OFFSET(TH!K$1,SMALL(Dong1,ROWS($1:47)),),0))</f>
        <v>0</v>
      </c>
      <c r="H60" s="119">
        <f ca="1">IF(ROWS($1:47)&gt;COUNT(Dong1),"",IF(OFFSET(TH!M$1,SMALL(Dong1,ROWS($1:47)),)="1111",OFFSET(TH!K$1,SMALL(Dong1,ROWS($1:47)),),0))</f>
        <v>17817140</v>
      </c>
      <c r="I60" s="117">
        <f t="shared" ca="1" si="1"/>
        <v>2342393425</v>
      </c>
      <c r="J60" s="122"/>
      <c r="N60" s="621"/>
      <c r="O60" s="621"/>
    </row>
    <row r="61" spans="1:15" ht="21.75" customHeight="1">
      <c r="A61" s="116">
        <f ca="1">IF(ROWS($1:48)&gt;COUNT(Dong1),"",OFFSET(TH!C$1,SMALL(Dong1,ROWS($1:48)),))</f>
        <v>41274</v>
      </c>
      <c r="B61" s="116">
        <f ca="1">IF(ROWS($1:48)&gt;COUNT(Dong1),"",OFFSET(TH!E$1,SMALL(Dong1,ROWS($1:48)),))</f>
        <v>41274</v>
      </c>
      <c r="C61" s="117" t="str">
        <f ca="1">IF(ROWS($1:48)&gt;COUNT(Dong1),"",IF(OFFSET(TH!L$1,SMALL(Dong1,ROWS($1:48)),)="1111",OFFSET(TH!D$1,SMALL(Dong1,ROWS($1:48)),),""))</f>
        <v/>
      </c>
      <c r="D61" s="118" t="str">
        <f ca="1">IF(ROWS($1:48)&gt;COUNT(Dong1),"",IF(OFFSET(TH!M$1,SMALL(Dong1,ROWS($1:48)),)="1111",OFFSET(TH!D$1,SMALL(Dong1,ROWS($1:48)),),""))</f>
        <v>C31</v>
      </c>
      <c r="E61" s="218" t="str">
        <f ca="1">IF(ROWS($1:48)&gt;COUNT(Dong1),"",OFFSET(TH!F$1,SMALL(Dong1,ROWS($1:48)),))</f>
        <v>Cước vận chuyển</v>
      </c>
      <c r="F61" s="120" t="str">
        <f ca="1">IF(ROWS($1:48)&gt;COUNT(Dong1),"",IF(OFFSET(TH!M$1,SMALL(Dong1,ROWS($1:48)),)="1111",OFFSET(TH!L$1,SMALL(Dong1,ROWS($1:48)),),OFFSET(TH!M$1,SMALL(Dong1,ROWS($1:48)),)))</f>
        <v>642</v>
      </c>
      <c r="G61" s="121">
        <f ca="1">IF(ROWS($1:48)&gt;COUNT(Dong1),"",IF(OFFSET(TH!L$1,SMALL(Dong1,ROWS($1:48)),)="1111",OFFSET(TH!K$1,SMALL(Dong1,ROWS($1:48)),),0))</f>
        <v>0</v>
      </c>
      <c r="H61" s="119">
        <f ca="1">IF(ROWS($1:48)&gt;COUNT(Dong1),"",IF(OFFSET(TH!M$1,SMALL(Dong1,ROWS($1:48)),)="1111",OFFSET(TH!K$1,SMALL(Dong1,ROWS($1:48)),),0))</f>
        <v>3000000</v>
      </c>
      <c r="I61" s="117">
        <f t="shared" ca="1" si="1"/>
        <v>2339393425</v>
      </c>
      <c r="J61" s="122"/>
      <c r="N61" s="621"/>
      <c r="O61" s="621"/>
    </row>
    <row r="62" spans="1:15" ht="21.75" customHeight="1">
      <c r="A62" s="116">
        <f ca="1">IF(ROWS($1:49)&gt;COUNT(Dong1),"",OFFSET(TH!C$1,SMALL(Dong1,ROWS($1:49)),))</f>
        <v>41274</v>
      </c>
      <c r="B62" s="116">
        <f ca="1">IF(ROWS($1:49)&gt;COUNT(Dong1),"",OFFSET(TH!E$1,SMALL(Dong1,ROWS($1:49)),))</f>
        <v>41274</v>
      </c>
      <c r="C62" s="117" t="str">
        <f ca="1">IF(ROWS($1:49)&gt;COUNT(Dong1),"",IF(OFFSET(TH!L$1,SMALL(Dong1,ROWS($1:49)),)="1111",OFFSET(TH!D$1,SMALL(Dong1,ROWS($1:49)),),""))</f>
        <v/>
      </c>
      <c r="D62" s="118" t="str">
        <f ca="1">IF(ROWS($1:49)&gt;COUNT(Dong1),"",IF(OFFSET(TH!M$1,SMALL(Dong1,ROWS($1:49)),)="1111",OFFSET(TH!D$1,SMALL(Dong1,ROWS($1:49)),),""))</f>
        <v>C31</v>
      </c>
      <c r="E62" s="218" t="str">
        <f ca="1">IF(ROWS($1:49)&gt;COUNT(Dong1),"",OFFSET(TH!F$1,SMALL(Dong1,ROWS($1:49)),))</f>
        <v>VAT Cước vận chuyển</v>
      </c>
      <c r="F62" s="120" t="str">
        <f ca="1">IF(ROWS($1:49)&gt;COUNT(Dong1),"",IF(OFFSET(TH!M$1,SMALL(Dong1,ROWS($1:49)),)="1111",OFFSET(TH!L$1,SMALL(Dong1,ROWS($1:49)),),OFFSET(TH!M$1,SMALL(Dong1,ROWS($1:49)),)))</f>
        <v>1331</v>
      </c>
      <c r="G62" s="121">
        <f ca="1">IF(ROWS($1:49)&gt;COUNT(Dong1),"",IF(OFFSET(TH!L$1,SMALL(Dong1,ROWS($1:49)),)="1111",OFFSET(TH!K$1,SMALL(Dong1,ROWS($1:49)),),0))</f>
        <v>0</v>
      </c>
      <c r="H62" s="119">
        <f ca="1">IF(ROWS($1:49)&gt;COUNT(Dong1),"",IF(OFFSET(TH!M$1,SMALL(Dong1,ROWS($1:49)),)="1111",OFFSET(TH!K$1,SMALL(Dong1,ROWS($1:49)),),0))</f>
        <v>300000</v>
      </c>
      <c r="I62" s="117">
        <f t="shared" ca="1" si="1"/>
        <v>2339093425</v>
      </c>
      <c r="J62" s="122"/>
      <c r="N62" s="621"/>
      <c r="O62" s="621"/>
    </row>
    <row r="63" spans="1:15" ht="21.75" customHeight="1">
      <c r="A63" s="116">
        <f ca="1">IF(ROWS($1:50)&gt;COUNT(Dong1),"",OFFSET(TH!C$1,SMALL(Dong1,ROWS($1:50)),))</f>
        <v>41274</v>
      </c>
      <c r="B63" s="116">
        <f ca="1">IF(ROWS($1:50)&gt;COUNT(Dong1),"",OFFSET(TH!E$1,SMALL(Dong1,ROWS($1:50)),))</f>
        <v>41274</v>
      </c>
      <c r="C63" s="117" t="str">
        <f ca="1">IF(ROWS($1:50)&gt;COUNT(Dong1),"",IF(OFFSET(TH!L$1,SMALL(Dong1,ROWS($1:50)),)="1111",OFFSET(TH!D$1,SMALL(Dong1,ROWS($1:50)),),""))</f>
        <v/>
      </c>
      <c r="D63" s="118" t="str">
        <f ca="1">IF(ROWS($1:50)&gt;COUNT(Dong1),"",IF(OFFSET(TH!M$1,SMALL(Dong1,ROWS($1:50)),)="1111",OFFSET(TH!D$1,SMALL(Dong1,ROWS($1:50)),),""))</f>
        <v>C32</v>
      </c>
      <c r="E63" s="218" t="str">
        <f ca="1">IF(ROWS($1:50)&gt;COUNT(Dong1),"",OFFSET(TH!F$1,SMALL(Dong1,ROWS($1:50)),))</f>
        <v>Mực in</v>
      </c>
      <c r="F63" s="120" t="str">
        <f ca="1">IF(ROWS($1:50)&gt;COUNT(Dong1),"",IF(OFFSET(TH!M$1,SMALL(Dong1,ROWS($1:50)),)="1111",OFFSET(TH!L$1,SMALL(Dong1,ROWS($1:50)),),OFFSET(TH!M$1,SMALL(Dong1,ROWS($1:50)),)))</f>
        <v>154</v>
      </c>
      <c r="G63" s="121">
        <f ca="1">IF(ROWS($1:50)&gt;COUNT(Dong1),"",IF(OFFSET(TH!L$1,SMALL(Dong1,ROWS($1:50)),)="1111",OFFSET(TH!K$1,SMALL(Dong1,ROWS($1:50)),),0))</f>
        <v>0</v>
      </c>
      <c r="H63" s="119">
        <f ca="1">IF(ROWS($1:50)&gt;COUNT(Dong1),"",IF(OFFSET(TH!M$1,SMALL(Dong1,ROWS($1:50)),)="1111",OFFSET(TH!K$1,SMALL(Dong1,ROWS($1:50)),),0))</f>
        <v>1137500</v>
      </c>
      <c r="I63" s="117">
        <f t="shared" ca="1" si="1"/>
        <v>2337955925</v>
      </c>
      <c r="J63" s="122"/>
      <c r="N63" s="621"/>
      <c r="O63" s="621"/>
    </row>
    <row r="64" spans="1:15" ht="21.75" customHeight="1">
      <c r="A64" s="116">
        <f ca="1">IF(ROWS($1:51)&gt;COUNT(Dong1),"",OFFSET(TH!C$1,SMALL(Dong1,ROWS($1:51)),))</f>
        <v>42368</v>
      </c>
      <c r="B64" s="116">
        <f ca="1">IF(ROWS($1:51)&gt;COUNT(Dong1),"",OFFSET(TH!E$1,SMALL(Dong1,ROWS($1:51)),))</f>
        <v>42368</v>
      </c>
      <c r="C64" s="117" t="str">
        <f ca="1">IF(ROWS($1:51)&gt;COUNT(Dong1),"",IF(OFFSET(TH!L$1,SMALL(Dong1,ROWS($1:51)),)="1111",OFFSET(TH!D$1,SMALL(Dong1,ROWS($1:51)),),""))</f>
        <v/>
      </c>
      <c r="D64" s="118" t="str">
        <f ca="1">IF(ROWS($1:51)&gt;COUNT(Dong1),"",IF(OFFSET(TH!M$1,SMALL(Dong1,ROWS($1:51)),)="1111",OFFSET(TH!D$1,SMALL(Dong1,ROWS($1:51)),),""))</f>
        <v>C33</v>
      </c>
      <c r="E64" s="218" t="str">
        <f ca="1">IF(ROWS($1:51)&gt;COUNT(Dong1),"",OFFSET(TH!F$1,SMALL(Dong1,ROWS($1:51)),))</f>
        <v>Chi phí tiếp khách</v>
      </c>
      <c r="F64" s="120" t="str">
        <f ca="1">IF(ROWS($1:51)&gt;COUNT(Dong1),"",IF(OFFSET(TH!M$1,SMALL(Dong1,ROWS($1:51)),)="1111",OFFSET(TH!L$1,SMALL(Dong1,ROWS($1:51)),),OFFSET(TH!M$1,SMALL(Dong1,ROWS($1:51)),)))</f>
        <v>642</v>
      </c>
      <c r="G64" s="121">
        <f ca="1">IF(ROWS($1:51)&gt;COUNT(Dong1),"",IF(OFFSET(TH!L$1,SMALL(Dong1,ROWS($1:51)),)="1111",OFFSET(TH!K$1,SMALL(Dong1,ROWS($1:51)),),0))</f>
        <v>0</v>
      </c>
      <c r="H64" s="119">
        <f ca="1">IF(ROWS($1:51)&gt;COUNT(Dong1),"",IF(OFFSET(TH!M$1,SMALL(Dong1,ROWS($1:51)),)="1111",OFFSET(TH!K$1,SMALL(Dong1,ROWS($1:51)),),0))</f>
        <v>2545455</v>
      </c>
      <c r="I64" s="117">
        <f t="shared" ca="1" si="1"/>
        <v>2335410470</v>
      </c>
      <c r="J64" s="122"/>
      <c r="N64" s="621"/>
      <c r="O64" s="621"/>
    </row>
    <row r="65" spans="1:15" ht="21.75" customHeight="1">
      <c r="A65" s="116">
        <f ca="1">IF(ROWS($1:52)&gt;COUNT(Dong1),"",OFFSET(TH!C$1,SMALL(Dong1,ROWS($1:52)),))</f>
        <v>42368</v>
      </c>
      <c r="B65" s="116">
        <f ca="1">IF(ROWS($1:52)&gt;COUNT(Dong1),"",OFFSET(TH!E$1,SMALL(Dong1,ROWS($1:52)),))</f>
        <v>42368</v>
      </c>
      <c r="C65" s="117" t="str">
        <f ca="1">IF(ROWS($1:52)&gt;COUNT(Dong1),"",IF(OFFSET(TH!L$1,SMALL(Dong1,ROWS($1:52)),)="1111",OFFSET(TH!D$1,SMALL(Dong1,ROWS($1:52)),),""))</f>
        <v/>
      </c>
      <c r="D65" s="118" t="str">
        <f ca="1">IF(ROWS($1:52)&gt;COUNT(Dong1),"",IF(OFFSET(TH!M$1,SMALL(Dong1,ROWS($1:52)),)="1111",OFFSET(TH!D$1,SMALL(Dong1,ROWS($1:52)),),""))</f>
        <v>C33</v>
      </c>
      <c r="E65" s="218" t="str">
        <f ca="1">IF(ROWS($1:52)&gt;COUNT(Dong1),"",OFFSET(TH!F$1,SMALL(Dong1,ROWS($1:52)),))</f>
        <v>VAT Chi phí tiếp khách</v>
      </c>
      <c r="F65" s="120" t="str">
        <f ca="1">IF(ROWS($1:52)&gt;COUNT(Dong1),"",IF(OFFSET(TH!M$1,SMALL(Dong1,ROWS($1:52)),)="1111",OFFSET(TH!L$1,SMALL(Dong1,ROWS($1:52)),),OFFSET(TH!M$1,SMALL(Dong1,ROWS($1:52)),)))</f>
        <v>1331</v>
      </c>
      <c r="G65" s="121">
        <f ca="1">IF(ROWS($1:52)&gt;COUNT(Dong1),"",IF(OFFSET(TH!L$1,SMALL(Dong1,ROWS($1:52)),)="1111",OFFSET(TH!K$1,SMALL(Dong1,ROWS($1:52)),),0))</f>
        <v>0</v>
      </c>
      <c r="H65" s="119">
        <f ca="1">IF(ROWS($1:52)&gt;COUNT(Dong1),"",IF(OFFSET(TH!M$1,SMALL(Dong1,ROWS($1:52)),)="1111",OFFSET(TH!K$1,SMALL(Dong1,ROWS($1:52)),),0))</f>
        <v>254545</v>
      </c>
      <c r="I65" s="117">
        <f t="shared" ca="1" si="1"/>
        <v>2335155925</v>
      </c>
      <c r="J65" s="122"/>
      <c r="N65" s="621"/>
      <c r="O65" s="621"/>
    </row>
    <row r="66" spans="1:15" ht="21.75" customHeight="1">
      <c r="A66" s="123"/>
      <c r="B66" s="122"/>
      <c r="C66" s="122"/>
      <c r="D66" s="122"/>
      <c r="E66" s="219"/>
      <c r="F66" s="124"/>
      <c r="G66" s="122"/>
      <c r="H66" s="122"/>
      <c r="I66" s="117"/>
      <c r="J66" s="122"/>
    </row>
    <row r="67" spans="1:15" s="112" customFormat="1" ht="21.75" customHeight="1">
      <c r="A67" s="125"/>
      <c r="B67" s="125"/>
      <c r="C67" s="125"/>
      <c r="D67" s="125"/>
      <c r="E67" s="125" t="s">
        <v>133</v>
      </c>
      <c r="F67" s="126" t="s">
        <v>19</v>
      </c>
      <c r="G67" s="125">
        <f ca="1">SUM(G14:G66)</f>
        <v>93900000</v>
      </c>
      <c r="H67" s="125">
        <f ca="1">SUM(H14:H66)</f>
        <v>196960556</v>
      </c>
      <c r="I67" s="126" t="s">
        <v>19</v>
      </c>
      <c r="J67" s="126" t="s">
        <v>19</v>
      </c>
    </row>
    <row r="68" spans="1:15" s="112" customFormat="1" ht="21.75" customHeight="1">
      <c r="A68" s="127"/>
      <c r="B68" s="127"/>
      <c r="C68" s="127"/>
      <c r="D68" s="127"/>
      <c r="E68" s="127" t="s">
        <v>134</v>
      </c>
      <c r="F68" s="128" t="s">
        <v>19</v>
      </c>
      <c r="G68" s="128" t="s">
        <v>19</v>
      </c>
      <c r="H68" s="128" t="s">
        <v>19</v>
      </c>
      <c r="I68" s="129">
        <f ca="1">I13+G67-H67</f>
        <v>2335155925</v>
      </c>
      <c r="J68" s="128" t="s">
        <v>19</v>
      </c>
    </row>
    <row r="69" spans="1:15">
      <c r="L69" s="241" t="s">
        <v>155</v>
      </c>
    </row>
    <row r="70" spans="1:15">
      <c r="A70" s="130" t="s">
        <v>156</v>
      </c>
      <c r="L70" s="241" t="s">
        <v>156</v>
      </c>
    </row>
    <row r="71" spans="1:15">
      <c r="A71" s="176" t="str">
        <f ca="1">"- Ngày mở sổ: "&amp;DAY($A$14)&amp;"/"&amp;MONTH($A$14)&amp;"/ " &amp;YEAR($A$14)</f>
        <v>- Ngày mở sổ: 5/10/ 2012</v>
      </c>
      <c r="L71" s="241" t="s">
        <v>135</v>
      </c>
    </row>
    <row r="72" spans="1:15">
      <c r="I72" s="186" t="str">
        <f ca="1">"Ngày "&amp;IF(OR($L$11=4,$L$11=6,$L$11=9,$L$11=11),"30",IF($L$11=2,"28","31"))&amp;" tháng "&amp;$O$11&amp;"  năm  "&amp;YEAR($A$14)</f>
        <v>Ngày 31 tháng 12  năm  2012</v>
      </c>
      <c r="L72" s="241" t="s">
        <v>153</v>
      </c>
    </row>
    <row r="73" spans="1:15" s="131" customFormat="1" ht="14.25">
      <c r="C73" s="131" t="s">
        <v>11</v>
      </c>
      <c r="E73" s="131" t="s">
        <v>12</v>
      </c>
      <c r="I73" s="131" t="s">
        <v>109</v>
      </c>
    </row>
    <row r="74" spans="1:15" s="132" customFormat="1">
      <c r="C74" s="132" t="s">
        <v>13</v>
      </c>
      <c r="E74" s="132" t="s">
        <v>13</v>
      </c>
      <c r="I74" s="132" t="s">
        <v>136</v>
      </c>
    </row>
    <row r="75" spans="1:15" s="132" customFormat="1"/>
    <row r="76" spans="1:15" s="132" customFormat="1"/>
    <row r="77" spans="1:15" s="132" customFormat="1"/>
    <row r="78" spans="1:15" s="132" customFormat="1"/>
    <row r="81" spans="1:10" ht="15.75">
      <c r="C81" s="216"/>
      <c r="I81" s="217"/>
    </row>
    <row r="82" spans="1:10">
      <c r="E82" s="107">
        <f ca="1">SUMIF($D$14:$D$36,#REF!,H14:H36)</f>
        <v>0</v>
      </c>
    </row>
    <row r="85" spans="1:10">
      <c r="A85" s="107">
        <v>2</v>
      </c>
      <c r="B85" s="107">
        <v>3</v>
      </c>
      <c r="C85" s="107">
        <v>4</v>
      </c>
      <c r="D85" s="107">
        <v>5</v>
      </c>
      <c r="E85" s="107">
        <v>6</v>
      </c>
      <c r="F85" s="107">
        <v>9</v>
      </c>
      <c r="G85" s="107">
        <v>10</v>
      </c>
      <c r="H85" s="107">
        <v>11</v>
      </c>
      <c r="I85" s="107">
        <v>12</v>
      </c>
      <c r="J85" s="107">
        <v>13</v>
      </c>
    </row>
  </sheetData>
  <autoFilter ref="A12:J6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5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C15" sqref="C1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9"/>
      <c r="B1" s="57" t="str">
        <f>TH!A1</f>
        <v>Đơn vị: CÔNG TY TNHH MỘT THÀNH VIÊN KHỞI NGUYÊN AN</v>
      </c>
      <c r="C1" s="68"/>
      <c r="D1" s="58"/>
      <c r="E1" s="58"/>
      <c r="F1" s="58"/>
      <c r="G1" s="58"/>
      <c r="H1" s="59"/>
      <c r="I1" s="60"/>
      <c r="J1" s="59"/>
      <c r="K1" s="59"/>
      <c r="L1" s="61" t="str">
        <f>+IF(LEFT($U$4,1)="T","Mẫu số 01 - TT","Mẫu số 02 - TT")</f>
        <v>Mẫu số 02 - TT</v>
      </c>
      <c r="M1" s="59"/>
      <c r="N1" s="62"/>
      <c r="O1" s="62"/>
      <c r="P1" s="63"/>
      <c r="Q1" s="64"/>
      <c r="R1" s="64"/>
      <c r="S1" s="64"/>
      <c r="T1" s="64"/>
      <c r="U1" s="64"/>
      <c r="V1" s="65"/>
      <c r="W1" s="64"/>
    </row>
    <row r="2" spans="1:23" ht="13.5" customHeight="1">
      <c r="A2" s="59"/>
      <c r="B2" s="921" t="str">
        <f>TH!A2</f>
        <v>Địa chỉ: Thửa đất số 144, tờ bản đồ số 12TĐH.1, tổ 1, khu phố Đông Tác, Phường Tân Đông Hiệp, Thị Xã Dĩ An, Tỉnh Bình Dương, Việt Nam</v>
      </c>
      <c r="C2" s="921"/>
      <c r="D2" s="921"/>
      <c r="E2" s="921"/>
      <c r="F2" s="921"/>
      <c r="G2" s="921"/>
      <c r="H2" s="921"/>
      <c r="I2" s="921"/>
      <c r="J2" s="59"/>
      <c r="K2" s="59"/>
      <c r="L2" s="69" t="str">
        <f>IF($Q$4&gt;=2015,"(Ban hành theo Thông tư số 200/2014/TT-BTC ","(Ban hành kèm theo QĐ 48/2006/QĐ-BTC")</f>
        <v>(Ban hành kèm theo QĐ 48/2006/QĐ-BTC</v>
      </c>
      <c r="M2" s="59"/>
      <c r="N2" s="70"/>
      <c r="O2" s="70"/>
      <c r="P2" s="63"/>
      <c r="Q2" s="64"/>
      <c r="R2" s="64"/>
      <c r="S2" s="64"/>
      <c r="T2" s="64"/>
      <c r="U2" s="64"/>
      <c r="V2" s="71"/>
      <c r="W2" s="72" t="s">
        <v>104</v>
      </c>
    </row>
    <row r="3" spans="1:23" ht="13.5" customHeight="1" thickBot="1">
      <c r="A3" s="59"/>
      <c r="B3" s="921"/>
      <c r="C3" s="921"/>
      <c r="D3" s="921"/>
      <c r="E3" s="921"/>
      <c r="F3" s="921"/>
      <c r="G3" s="921"/>
      <c r="H3" s="921"/>
      <c r="I3" s="921"/>
      <c r="J3" s="59"/>
      <c r="K3" s="59"/>
      <c r="L3" s="69" t="str">
        <f>IF($Q$4=2015,"Ngày 22/12/2014 của Bộ Tài chính)","ngày 24/09/2006 của Bộ trưởng BTC)")</f>
        <v>ngày 24/09/2006 của Bộ trưởng BTC)</v>
      </c>
      <c r="M3" s="59"/>
      <c r="N3" s="70"/>
      <c r="O3" s="70"/>
      <c r="P3" s="73"/>
      <c r="Q3" s="475"/>
      <c r="R3" s="191"/>
      <c r="S3" s="192" t="s">
        <v>351</v>
      </c>
      <c r="T3" s="191"/>
      <c r="U3" s="192" t="s">
        <v>105</v>
      </c>
      <c r="V3" s="71"/>
      <c r="W3" s="72" t="s">
        <v>105</v>
      </c>
    </row>
    <row r="4" spans="1:23" ht="22.5" thickBot="1">
      <c r="A4" s="59"/>
      <c r="B4" s="68"/>
      <c r="C4" s="58"/>
      <c r="D4" s="58"/>
      <c r="E4" s="58"/>
      <c r="F4" s="59"/>
      <c r="G4" s="74"/>
      <c r="H4" s="75" t="str">
        <f>IF(LEFT($U$4,1)="T","PHIẾU THU","PHIẾU CHI")</f>
        <v>PHIẾU CHI</v>
      </c>
      <c r="I4" s="59"/>
      <c r="J4" s="74"/>
      <c r="K4" s="76"/>
      <c r="L4" s="59"/>
      <c r="M4" s="76"/>
      <c r="N4" s="76"/>
      <c r="O4" s="76"/>
      <c r="P4" s="77"/>
      <c r="Q4" s="476"/>
      <c r="R4" s="78"/>
      <c r="S4" s="602">
        <v>4</v>
      </c>
      <c r="T4" s="78"/>
      <c r="U4" s="477" t="s">
        <v>4</v>
      </c>
      <c r="V4" s="103"/>
      <c r="W4" s="478">
        <v>1</v>
      </c>
    </row>
    <row r="5" spans="1:23" ht="15">
      <c r="A5" s="59"/>
      <c r="B5" s="68"/>
      <c r="C5" s="58"/>
      <c r="D5" s="58"/>
      <c r="E5" s="58"/>
      <c r="F5" s="59"/>
      <c r="G5" s="74"/>
      <c r="H5" s="79" t="str">
        <f>IF(ISNA(VLOOKUP($M$7,TM,3,0)),"","Ngày  "&amp;DAY(VLOOKUP($M$7,TM,3,0))&amp;"  tháng  "&amp;MONTH(VLOOKUP($M$7,TM,3,0))&amp;"  năm  "&amp;YEAR(VLOOKUP($M$7,TM,3,0)))</f>
        <v>Ngày  13  tháng  10  năm  2012</v>
      </c>
      <c r="I5" s="59"/>
      <c r="J5" s="74"/>
      <c r="K5" s="76"/>
      <c r="L5" s="59"/>
      <c r="M5" s="76"/>
      <c r="N5" s="76"/>
      <c r="O5" s="76"/>
      <c r="P5" s="77"/>
      <c r="Q5" s="475"/>
      <c r="R5" s="59"/>
      <c r="S5" s="59"/>
      <c r="T5" s="59"/>
      <c r="U5" s="59"/>
      <c r="V5" s="67"/>
      <c r="W5" s="72"/>
    </row>
    <row r="6" spans="1:23" ht="13.5">
      <c r="A6" s="82"/>
      <c r="B6" s="80"/>
      <c r="C6" s="81"/>
      <c r="D6" s="81"/>
      <c r="E6" s="81"/>
      <c r="F6" s="82"/>
      <c r="G6" s="83"/>
      <c r="H6" s="83"/>
      <c r="I6" s="83"/>
      <c r="J6" s="82"/>
      <c r="K6" s="82"/>
      <c r="L6" s="84" t="str">
        <f>"Quyển số: 0"&amp;$S$4</f>
        <v>Quyển số: 04</v>
      </c>
      <c r="M6" s="82"/>
      <c r="N6" s="82"/>
      <c r="O6" s="85"/>
      <c r="P6" s="86"/>
      <c r="Q6" s="82"/>
      <c r="R6" s="82"/>
      <c r="S6" s="82"/>
      <c r="T6" s="82"/>
      <c r="U6" s="82"/>
      <c r="V6" s="87"/>
      <c r="W6" s="72"/>
    </row>
    <row r="7" spans="1:23" ht="13.5" customHeight="1">
      <c r="A7" s="82"/>
      <c r="B7" s="82"/>
      <c r="C7" s="82"/>
      <c r="D7" s="82"/>
      <c r="E7" s="80"/>
      <c r="F7" s="83"/>
      <c r="G7" s="83"/>
      <c r="H7" s="83"/>
      <c r="I7" s="83"/>
      <c r="J7" s="82"/>
      <c r="K7" s="82"/>
      <c r="L7" s="88" t="str">
        <f>"Số :    "</f>
        <v xml:space="preserve">Số :    </v>
      </c>
      <c r="M7" s="89" t="str">
        <f>$U$4&amp;IF($W$4&gt;=10,$W$4,"0"&amp;$W$4)</f>
        <v>C01</v>
      </c>
      <c r="N7" s="85"/>
      <c r="O7" s="85"/>
      <c r="P7" s="86"/>
      <c r="Q7" s="82"/>
      <c r="R7" s="82"/>
      <c r="S7" s="82"/>
      <c r="T7" s="82"/>
      <c r="U7" s="82"/>
      <c r="V7" s="82"/>
      <c r="W7" s="82"/>
    </row>
    <row r="8" spans="1:23" ht="13.5">
      <c r="A8" s="82"/>
      <c r="B8" s="82"/>
      <c r="C8" s="82"/>
      <c r="D8" s="82"/>
      <c r="E8" s="80"/>
      <c r="F8" s="80"/>
      <c r="G8" s="80"/>
      <c r="H8" s="80"/>
      <c r="I8" s="80"/>
      <c r="J8" s="82"/>
      <c r="K8" s="90"/>
      <c r="L8" s="84" t="s">
        <v>106</v>
      </c>
      <c r="M8" s="91" t="str">
        <f>IF($U$4="T","1111",IF($U$4="C",IF(ISNA(VLOOKUP($M$7,TM,13,0)),"",VLOOKUP($M$7,TM,12,0)),""))</f>
        <v>331</v>
      </c>
      <c r="N8" s="85"/>
      <c r="O8" s="85"/>
      <c r="P8" s="92"/>
      <c r="Q8" s="82"/>
      <c r="R8" s="82"/>
      <c r="S8" s="82"/>
      <c r="T8" s="82"/>
      <c r="U8" s="82"/>
      <c r="V8" s="82"/>
      <c r="W8" s="82"/>
    </row>
    <row r="9" spans="1:23" ht="13.5">
      <c r="A9" s="82"/>
      <c r="B9" s="82"/>
      <c r="C9" s="82"/>
      <c r="D9" s="82"/>
      <c r="E9" s="80"/>
      <c r="F9" s="80"/>
      <c r="G9" s="80"/>
      <c r="H9" s="80"/>
      <c r="I9" s="80"/>
      <c r="J9" s="82"/>
      <c r="K9" s="90"/>
      <c r="L9" s="88" t="s">
        <v>107</v>
      </c>
      <c r="M9" s="91" t="str">
        <f>IF($U$4="C","1111",IF($U$4="T",IF(ISNA(VLOOKUP($M$7,TM,12,0)),"",VLOOKUP($M$7,TM,13,0)),""))</f>
        <v>1111</v>
      </c>
      <c r="N9" s="85"/>
      <c r="O9" s="85"/>
      <c r="P9" s="92"/>
      <c r="Q9" s="82"/>
      <c r="R9" s="82"/>
      <c r="S9" s="82"/>
      <c r="T9" s="82"/>
      <c r="U9" s="82"/>
      <c r="V9" s="82"/>
      <c r="W9" s="82"/>
    </row>
    <row r="10" spans="1:23" ht="15">
      <c r="A10" s="82"/>
      <c r="B10" s="82"/>
      <c r="C10" s="93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80"/>
      <c r="E10" s="82"/>
      <c r="F10" s="80"/>
      <c r="G10" s="80"/>
      <c r="H10" s="80"/>
      <c r="I10" s="80"/>
      <c r="J10" s="82"/>
      <c r="K10" s="80"/>
      <c r="L10" s="88"/>
      <c r="M10" s="91"/>
      <c r="N10" s="85"/>
      <c r="O10" s="80"/>
      <c r="P10" s="86"/>
      <c r="Q10" s="82"/>
      <c r="R10" s="82"/>
      <c r="S10" s="82"/>
      <c r="T10" s="82"/>
      <c r="U10" s="82"/>
      <c r="V10" s="82"/>
      <c r="W10" s="82"/>
    </row>
    <row r="11" spans="1:23" ht="15">
      <c r="A11" s="59"/>
      <c r="B11" s="59"/>
      <c r="C11" s="93" t="str">
        <f>"Địa chỉ :"</f>
        <v>Địa chỉ :</v>
      </c>
      <c r="D11" s="59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73"/>
      <c r="Q11" s="59"/>
      <c r="R11" s="59"/>
      <c r="S11" s="59"/>
      <c r="T11" s="59"/>
      <c r="U11" s="59"/>
      <c r="V11" s="59"/>
      <c r="W11" s="59"/>
    </row>
    <row r="12" spans="1:23" ht="15">
      <c r="A12" s="59"/>
      <c r="B12" s="59"/>
      <c r="C12" s="93" t="str">
        <f>IF($U$4="T","Lý do nộp :","Lý do chi :")&amp;" "&amp;IF(ISNA(VLOOKUP($M$7,TM,6,0)),"",VLOOKUP($M$7,TM,6,0))</f>
        <v>Lý do chi : Thanh toán tiền hàng</v>
      </c>
      <c r="D12" s="59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  <c r="Q12" s="59"/>
      <c r="R12" s="59"/>
      <c r="S12" s="59"/>
      <c r="T12" s="59"/>
      <c r="U12" s="59"/>
      <c r="V12" s="59"/>
      <c r="W12" s="59"/>
    </row>
    <row r="13" spans="1:23" ht="15">
      <c r="A13" s="59"/>
      <c r="B13" s="59"/>
      <c r="C13" s="59" t="s">
        <v>118</v>
      </c>
      <c r="D13" s="95">
        <f ca="1">SUMIF(TM,$M$7,TH)</f>
        <v>7012500</v>
      </c>
      <c r="E13" s="59" t="s">
        <v>108</v>
      </c>
      <c r="F13" s="95"/>
      <c r="G13" s="95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:23" ht="15">
      <c r="A14" s="59"/>
      <c r="B14" s="59"/>
      <c r="C14" s="59" t="str">
        <f ca="1">"Viết bằng chữ: " &amp;[4]!VND('IN-TC'!D13, TRUE)</f>
        <v>Viết bằng chữ: Bảy triệu, không trăm mười hai ngàn, năm trăm đồng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73"/>
      <c r="Q14" s="59"/>
      <c r="R14" s="59"/>
      <c r="S14" s="59"/>
      <c r="T14" s="59"/>
      <c r="U14" s="59"/>
      <c r="V14" s="59"/>
      <c r="W14" s="59"/>
    </row>
    <row r="15" spans="1:23" ht="15">
      <c r="A15" s="59"/>
      <c r="B15" s="59"/>
      <c r="C15" s="9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93"/>
      <c r="E15" s="59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6"/>
      <c r="Q15" s="59"/>
      <c r="R15" s="59"/>
      <c r="S15" s="59"/>
      <c r="T15" s="59"/>
      <c r="U15" s="59"/>
      <c r="V15" s="59"/>
      <c r="W15" s="59"/>
    </row>
    <row r="16" spans="1:23" ht="1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97"/>
      <c r="L16" s="97"/>
      <c r="M16" s="104" t="str">
        <f>H5</f>
        <v>Ngày  13  tháng  10  năm  2012</v>
      </c>
      <c r="N16" s="97"/>
      <c r="O16" s="97"/>
      <c r="P16" s="59"/>
      <c r="Q16" s="59"/>
      <c r="R16" s="59"/>
      <c r="S16" s="59"/>
      <c r="T16" s="59"/>
      <c r="U16" s="59"/>
      <c r="V16" s="59"/>
      <c r="W16" s="59"/>
    </row>
    <row r="17" spans="1:23" ht="15">
      <c r="A17" s="59"/>
      <c r="B17" s="59"/>
      <c r="C17" s="98" t="s">
        <v>109</v>
      </c>
      <c r="D17" s="99"/>
      <c r="E17" s="98" t="s">
        <v>12</v>
      </c>
      <c r="F17" s="99"/>
      <c r="G17" s="99"/>
      <c r="H17" s="98" t="str">
        <f>IF($U$4="C","Thủ quỹ","Người nộp tiền")</f>
        <v>Thủ quỹ</v>
      </c>
      <c r="I17" s="59"/>
      <c r="J17" s="98" t="s">
        <v>110</v>
      </c>
      <c r="K17" s="99"/>
      <c r="L17" s="59"/>
      <c r="M17" s="100" t="str">
        <f>IF($U$4="T","Thủ quỹ","Người nhận tiền")</f>
        <v>Người nhận tiền</v>
      </c>
      <c r="N17" s="101"/>
      <c r="O17" s="101"/>
      <c r="P17" s="59"/>
      <c r="Q17" s="59"/>
      <c r="R17" s="59"/>
      <c r="S17" s="59"/>
      <c r="T17" s="59"/>
      <c r="U17" s="59"/>
      <c r="V17" s="59"/>
      <c r="W17" s="59"/>
    </row>
    <row r="18" spans="1:23" ht="15">
      <c r="A18" s="99"/>
      <c r="B18" s="99"/>
      <c r="C18" s="102" t="s">
        <v>111</v>
      </c>
      <c r="D18" s="59"/>
      <c r="E18" s="102" t="s">
        <v>112</v>
      </c>
      <c r="F18" s="59"/>
      <c r="G18" s="59"/>
      <c r="H18" s="102" t="s">
        <v>112</v>
      </c>
      <c r="I18" s="99"/>
      <c r="J18" s="102" t="s">
        <v>112</v>
      </c>
      <c r="K18" s="59"/>
      <c r="L18" s="99"/>
      <c r="M18" s="102" t="s">
        <v>112</v>
      </c>
      <c r="N18" s="59"/>
      <c r="O18" s="59"/>
      <c r="P18" s="99"/>
      <c r="Q18" s="99"/>
      <c r="R18" s="99"/>
      <c r="S18" s="99"/>
      <c r="T18" s="99"/>
      <c r="U18" s="99"/>
      <c r="V18" s="99"/>
      <c r="W18" s="99"/>
    </row>
    <row r="19" spans="1:23" ht="1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1:23" ht="1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1:23" ht="1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1:23" ht="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spans="1:23" ht="15">
      <c r="A23" s="59"/>
      <c r="B23" s="59"/>
      <c r="C23" s="59"/>
      <c r="D23" s="59"/>
      <c r="E23" s="59"/>
      <c r="F23" s="59"/>
      <c r="G23" s="59"/>
      <c r="H23" s="59"/>
      <c r="I23" s="66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1:23" ht="15">
      <c r="A24" s="59"/>
      <c r="B24" s="59"/>
      <c r="C24" s="202"/>
      <c r="D24" s="59"/>
      <c r="E24" s="59"/>
      <c r="F24" s="59"/>
      <c r="G24" s="59"/>
      <c r="H24" s="202"/>
      <c r="I24" s="59"/>
      <c r="J24" s="202"/>
      <c r="K24" s="59"/>
      <c r="L24" s="59"/>
      <c r="M24" s="202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1:23" ht="15">
      <c r="A25" s="59"/>
      <c r="B25" s="59" t="s">
        <v>113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1:23" ht="15">
      <c r="A26" s="59"/>
      <c r="B26" s="93"/>
      <c r="C26" s="93" t="s">
        <v>114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59"/>
      <c r="Q26" s="59"/>
      <c r="R26" s="59"/>
      <c r="S26" s="59"/>
      <c r="T26" s="59"/>
      <c r="U26" s="59"/>
      <c r="V26" s="59"/>
      <c r="W26" s="59"/>
    </row>
    <row r="27" spans="1:23" ht="15">
      <c r="A27" s="59"/>
      <c r="B27" s="93"/>
      <c r="C27" s="93" t="s">
        <v>115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59"/>
      <c r="Q27" s="59"/>
      <c r="R27" s="59"/>
      <c r="S27" s="59"/>
      <c r="T27" s="59"/>
      <c r="U27" s="59"/>
      <c r="V27" s="59"/>
      <c r="W27" s="59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8" activePane="bottomLeft" state="frozen"/>
      <selection activeCell="A6" sqref="A6"/>
      <selection pane="bottomLeft" activeCell="A86" sqref="A30:XFD86"/>
    </sheetView>
  </sheetViews>
  <sheetFormatPr defaultRowHeight="15.75"/>
  <cols>
    <col min="1" max="1" width="7.7109375" style="171" customWidth="1"/>
    <col min="2" max="2" width="6" style="172" customWidth="1"/>
    <col min="3" max="3" width="7.7109375" style="171" customWidth="1"/>
    <col min="4" max="4" width="38.7109375" style="170" customWidth="1"/>
    <col min="5" max="5" width="7.5703125" style="170" customWidth="1"/>
    <col min="6" max="6" width="14.28515625" style="170" customWidth="1"/>
    <col min="7" max="7" width="14.5703125" style="170" customWidth="1"/>
    <col min="8" max="8" width="14.7109375" style="425" customWidth="1"/>
    <col min="9" max="9" width="6.5703125" style="170" customWidth="1"/>
    <col min="10" max="10" width="2.85546875" style="170" customWidth="1"/>
    <col min="11" max="11" width="9.140625" style="170" customWidth="1"/>
    <col min="12" max="12" width="3.28515625" style="170" customWidth="1"/>
    <col min="13" max="13" width="8" style="170" customWidth="1"/>
    <col min="14" max="15" width="3.85546875" style="170" hidden="1" customWidth="1"/>
    <col min="16" max="16" width="1.7109375" style="170" customWidth="1"/>
    <col min="17" max="17" width="12.85546875" style="170" bestFit="1" customWidth="1"/>
    <col min="18" max="18" width="12.7109375" style="170" customWidth="1"/>
    <col min="19" max="19" width="15.140625" style="170" customWidth="1"/>
    <col min="20" max="20" width="12" style="170" bestFit="1" customWidth="1"/>
    <col min="21" max="16384" width="9.140625" style="170"/>
  </cols>
  <sheetData>
    <row r="1" spans="1:20" s="136" customFormat="1" ht="16.5" customHeight="1">
      <c r="A1" s="88" t="str">
        <f>TH!A1</f>
        <v>Đơn vị: CÔNG TY TNHH MỘT THÀNH VIÊN KHỞI NGUYÊN AN</v>
      </c>
      <c r="B1" s="137"/>
      <c r="C1" s="138"/>
      <c r="F1" s="220"/>
      <c r="G1" s="222" t="s">
        <v>154</v>
      </c>
      <c r="H1" s="583"/>
      <c r="I1" s="220"/>
      <c r="K1" s="812"/>
      <c r="L1" s="812"/>
    </row>
    <row r="2" spans="1:20" s="136" customFormat="1" ht="16.5" customHeight="1">
      <c r="A2" s="223" t="str">
        <f>TH!A2</f>
        <v>Địa chỉ: Thửa đất số 144, tờ bản đồ số 12TĐH.1, tổ 1, khu phố Đông Tác, Phường Tân Đông Hiệp, Thị Xã Dĩ An, Tỉnh Bình Dương, Việt Nam</v>
      </c>
      <c r="B2" s="173"/>
      <c r="C2" s="173"/>
      <c r="D2" s="173"/>
      <c r="F2" s="922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22"/>
      <c r="H2" s="922"/>
      <c r="I2" s="221"/>
      <c r="K2" s="813"/>
      <c r="L2" s="813"/>
    </row>
    <row r="3" spans="1:20" s="136" customFormat="1" ht="16.5" customHeight="1">
      <c r="A3" s="173"/>
      <c r="B3" s="173"/>
      <c r="C3" s="173"/>
      <c r="D3" s="173"/>
      <c r="F3" s="922"/>
      <c r="G3" s="922"/>
      <c r="H3" s="922"/>
      <c r="I3" s="221"/>
    </row>
    <row r="4" spans="1:20" s="136" customFormat="1" ht="19.5" customHeight="1">
      <c r="A4" s="925" t="s">
        <v>137</v>
      </c>
      <c r="B4" s="925"/>
      <c r="C4" s="925"/>
      <c r="D4" s="925"/>
      <c r="E4" s="925"/>
      <c r="F4" s="925"/>
      <c r="G4" s="925"/>
      <c r="H4" s="925"/>
      <c r="I4" s="925"/>
    </row>
    <row r="5" spans="1:20" s="136" customFormat="1" ht="15">
      <c r="A5" s="926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26"/>
      <c r="C5" s="926"/>
      <c r="D5" s="926"/>
      <c r="E5" s="926"/>
      <c r="F5" s="926"/>
      <c r="G5" s="926"/>
      <c r="H5" s="926"/>
      <c r="I5" s="926"/>
    </row>
    <row r="6" spans="1:20" s="136" customFormat="1" ht="15">
      <c r="D6" s="252" t="s">
        <v>158</v>
      </c>
      <c r="E6" s="926" t="str">
        <f>IF($M$9="ACB","100983119","1004 148 5104 6511")</f>
        <v>1004 148 5104 6511</v>
      </c>
      <c r="F6" s="926"/>
      <c r="G6" s="926"/>
      <c r="H6" s="584" t="s">
        <v>108</v>
      </c>
      <c r="I6" s="253" t="str">
        <f>IF(H6="VNĐ","1121",IF(H6="USD","1122",""))</f>
        <v>1121</v>
      </c>
      <c r="N6" s="916" t="s">
        <v>346</v>
      </c>
      <c r="O6" s="916"/>
      <c r="Q6" s="923" t="s">
        <v>288</v>
      </c>
      <c r="R6" s="923" t="s">
        <v>616</v>
      </c>
      <c r="S6" s="923" t="s">
        <v>347</v>
      </c>
    </row>
    <row r="7" spans="1:20" s="136" customFormat="1" ht="8.25" customHeight="1" thickBot="1">
      <c r="A7" s="139"/>
      <c r="B7" s="140"/>
      <c r="C7" s="139"/>
      <c r="D7" s="140"/>
      <c r="E7" s="140"/>
      <c r="F7" s="140"/>
      <c r="G7" s="140"/>
      <c r="H7" s="585"/>
      <c r="I7" s="140"/>
      <c r="Q7" s="924"/>
      <c r="R7" s="924"/>
      <c r="S7" s="924"/>
    </row>
    <row r="8" spans="1:20" s="141" customFormat="1" ht="22.5" customHeight="1" thickBot="1">
      <c r="A8" s="929" t="s">
        <v>138</v>
      </c>
      <c r="B8" s="931" t="s">
        <v>1</v>
      </c>
      <c r="C8" s="932"/>
      <c r="D8" s="927" t="s">
        <v>0</v>
      </c>
      <c r="E8" s="933" t="s">
        <v>14</v>
      </c>
      <c r="F8" s="935" t="s">
        <v>139</v>
      </c>
      <c r="G8" s="935"/>
      <c r="H8" s="932"/>
      <c r="I8" s="927" t="s">
        <v>127</v>
      </c>
      <c r="K8" s="134"/>
      <c r="L8" s="136"/>
      <c r="N8" s="591">
        <f>IF(K9="Quý I",1,IF(K9="Quý II",4,IF(K9="Quý III",7,IF(K9="Quý IV",10,""))))</f>
        <v>10</v>
      </c>
      <c r="O8" s="592">
        <f>IF(K9="Quý I",3,IF(K9="Quý II",6,IF(K9="Quý III",9,IF(K9="Quý IV",12,""))))</f>
        <v>12</v>
      </c>
      <c r="Q8" s="462" t="s">
        <v>289</v>
      </c>
      <c r="R8" s="463">
        <v>0</v>
      </c>
      <c r="S8" s="463"/>
      <c r="T8" s="464">
        <f>SUM(R8:S8)</f>
        <v>0</v>
      </c>
    </row>
    <row r="9" spans="1:20" s="141" customFormat="1" ht="22.5" customHeight="1" thickBot="1">
      <c r="A9" s="930"/>
      <c r="B9" s="142" t="s">
        <v>15</v>
      </c>
      <c r="C9" s="143" t="s">
        <v>140</v>
      </c>
      <c r="D9" s="928"/>
      <c r="E9" s="934"/>
      <c r="F9" s="246" t="s">
        <v>141</v>
      </c>
      <c r="G9" s="144" t="s">
        <v>142</v>
      </c>
      <c r="H9" s="586" t="s">
        <v>143</v>
      </c>
      <c r="I9" s="928"/>
      <c r="K9" s="174" t="s">
        <v>578</v>
      </c>
      <c r="L9" s="136"/>
      <c r="M9" s="461" t="s">
        <v>616</v>
      </c>
      <c r="Q9" s="147"/>
      <c r="R9" s="147"/>
      <c r="S9" s="147"/>
      <c r="T9" s="147"/>
    </row>
    <row r="10" spans="1:20" s="147" customFormat="1" ht="15">
      <c r="A10" s="145" t="s">
        <v>2</v>
      </c>
      <c r="B10" s="146" t="s">
        <v>3</v>
      </c>
      <c r="C10" s="145" t="s">
        <v>4</v>
      </c>
      <c r="D10" s="146" t="s">
        <v>5</v>
      </c>
      <c r="E10" s="146" t="s">
        <v>6</v>
      </c>
      <c r="F10" s="146">
        <v>1</v>
      </c>
      <c r="G10" s="146">
        <v>2</v>
      </c>
      <c r="H10" s="146">
        <v>3</v>
      </c>
      <c r="I10" s="146" t="s">
        <v>130</v>
      </c>
      <c r="L10" s="136"/>
      <c r="Q10" s="151"/>
      <c r="R10" s="151"/>
      <c r="S10" s="151"/>
      <c r="T10" s="151"/>
    </row>
    <row r="11" spans="1:20" s="151" customFormat="1" ht="18.75" customHeight="1">
      <c r="A11" s="148"/>
      <c r="B11" s="149"/>
      <c r="C11" s="148"/>
      <c r="D11" s="150" t="s">
        <v>7</v>
      </c>
      <c r="E11" s="150"/>
      <c r="F11" s="468"/>
      <c r="G11" s="468"/>
      <c r="H11" s="468">
        <f>IF($M$9="VCB",$R$8,$S$8)+SUMIF(_N112,"x",TH)-SUMIF(_C112,"x",TH)</f>
        <v>21520176</v>
      </c>
      <c r="I11" s="465"/>
      <c r="L11" s="136"/>
      <c r="Q11" s="141"/>
      <c r="R11" s="141"/>
      <c r="S11" s="141"/>
      <c r="T11" s="141"/>
    </row>
    <row r="12" spans="1:20" s="141" customFormat="1" ht="18.75" customHeight="1">
      <c r="A12" s="152">
        <f ca="1">IF(ROWS($1:1)&gt;COUNT(Dong2),"",OFFSET(TH!C$1,SMALL(Dong2,ROWS($1:1)),))</f>
        <v>41183</v>
      </c>
      <c r="B12" s="152" t="str">
        <f ca="1">IF(ROWS($1:1)&gt;COUNT(Dong2),"",OFFSET(TH!D$1,SMALL(Dong2,ROWS($1:1)),))</f>
        <v>GBC</v>
      </c>
      <c r="C12" s="152">
        <f ca="1">IF(ROWS($1:1)&gt;COUNT(Dong2),"",OFFSET(TH!E$1,SMALL(Dong2,ROWS($1:1)),))</f>
        <v>41183</v>
      </c>
      <c r="D12" s="224" t="str">
        <f ca="1">IF(ROWS($1:1)&gt;COUNT(Dong2),"",OFFSET(TH!F$1,SMALL(Dong2,ROWS($1:1)),))</f>
        <v>Thu tiền hàng</v>
      </c>
      <c r="E12" s="152" t="str">
        <f ca="1">IF(ROWS($1:1)&gt;COUNT(Dong2),"",IF(OFFSET(TH!M$1,SMALL(Dong2,ROWS($1:1)),)=$I$6,OFFSET(TH!L$1,SMALL(Dong2,ROWS($1:1)),),OFFSET(TH!M$1,SMALL(Dong2,ROWS($1:1)),)))</f>
        <v>131</v>
      </c>
      <c r="F12" s="46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6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93">
        <f ca="1">IF(A12&lt;&gt;"",H11+F12-G12,0)</f>
        <v>29544588</v>
      </c>
      <c r="I12" s="466"/>
      <c r="L12" s="136"/>
    </row>
    <row r="13" spans="1:20" s="141" customFormat="1" ht="18.75" customHeight="1">
      <c r="A13" s="152">
        <f ca="1">IF(ROWS($1:2)&gt;COUNT(Dong2),"",OFFSET(TH!C$1,SMALL(Dong2,ROWS($1:2)),))</f>
        <v>41187</v>
      </c>
      <c r="B13" s="152" t="str">
        <f ca="1">IF(ROWS($1:2)&gt;COUNT(Dong2),"",OFFSET(TH!D$1,SMALL(Dong2,ROWS($1:2)),))</f>
        <v>T01</v>
      </c>
      <c r="C13" s="152">
        <f ca="1">IF(ROWS($1:2)&gt;COUNT(Dong2),"",OFFSET(TH!E$1,SMALL(Dong2,ROWS($1:2)),))</f>
        <v>41187</v>
      </c>
      <c r="D13" s="224" t="str">
        <f ca="1">IF(ROWS($1:2)&gt;COUNT(Dong2),"",OFFSET(TH!F$1,SMALL(Dong2,ROWS($1:2)),))</f>
        <v>Rút sec nhập quỹ tiền mặt</v>
      </c>
      <c r="E13" s="152" t="str">
        <f ca="1">IF(ROWS($1:2)&gt;COUNT(Dong2),"",IF(OFFSET(TH!M$1,SMALL(Dong2,ROWS($1:2)),)=$I$6,OFFSET(TH!L$1,SMALL(Dong2,ROWS($1:2)),),OFFSET(TH!M$1,SMALL(Dong2,ROWS($1:2)),)))</f>
        <v>1111</v>
      </c>
      <c r="F13" s="46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6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93">
        <f t="shared" ref="H13:H29" ca="1" si="0">IF(A13&lt;&gt;"",H12+F13-G13,0)</f>
        <v>1544588</v>
      </c>
      <c r="I13" s="466"/>
      <c r="L13" s="136"/>
    </row>
    <row r="14" spans="1:20" s="141" customFormat="1" ht="18.75" customHeight="1">
      <c r="A14" s="152">
        <f ca="1">IF(ROWS($1:3)&gt;COUNT(Dong2),"",OFFSET(TH!C$1,SMALL(Dong2,ROWS($1:3)),))</f>
        <v>41187</v>
      </c>
      <c r="B14" s="152" t="str">
        <f ca="1">IF(ROWS($1:3)&gt;COUNT(Dong2),"",OFFSET(TH!D$1,SMALL(Dong2,ROWS($1:3)),))</f>
        <v>GBN</v>
      </c>
      <c r="C14" s="152">
        <f ca="1">IF(ROWS($1:3)&gt;COUNT(Dong2),"",OFFSET(TH!E$1,SMALL(Dong2,ROWS($1:3)),))</f>
        <v>41187</v>
      </c>
      <c r="D14" s="224" t="str">
        <f ca="1">IF(ROWS($1:3)&gt;COUNT(Dong2),"",OFFSET(TH!F$1,SMALL(Dong2,ROWS($1:3)),))</f>
        <v>Phí cấp sec</v>
      </c>
      <c r="E14" s="152" t="str">
        <f ca="1">IF(ROWS($1:3)&gt;COUNT(Dong2),"",IF(OFFSET(TH!M$1,SMALL(Dong2,ROWS($1:3)),)=$I$6,OFFSET(TH!L$1,SMALL(Dong2,ROWS($1:3)),),OFFSET(TH!M$1,SMALL(Dong2,ROWS($1:3)),)))</f>
        <v>642</v>
      </c>
      <c r="F14" s="46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6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22000</v>
      </c>
      <c r="H14" s="593">
        <f t="shared" ca="1" si="0"/>
        <v>1522588</v>
      </c>
      <c r="I14" s="466"/>
      <c r="L14" s="136"/>
    </row>
    <row r="15" spans="1:20" s="141" customFormat="1" ht="18.75" customHeight="1">
      <c r="A15" s="152">
        <f ca="1">IF(ROWS($1:4)&gt;COUNT(Dong2),"",OFFSET(TH!C$1,SMALL(Dong2,ROWS($1:4)),))</f>
        <v>41198</v>
      </c>
      <c r="B15" s="152" t="str">
        <f ca="1">IF(ROWS($1:4)&gt;COUNT(Dong2),"",OFFSET(TH!D$1,SMALL(Dong2,ROWS($1:4)),))</f>
        <v>GBC</v>
      </c>
      <c r="C15" s="152">
        <f ca="1">IF(ROWS($1:4)&gt;COUNT(Dong2),"",OFFSET(TH!E$1,SMALL(Dong2,ROWS($1:4)),))</f>
        <v>41198</v>
      </c>
      <c r="D15" s="224" t="str">
        <f ca="1">IF(ROWS($1:4)&gt;COUNT(Dong2),"",OFFSET(TH!F$1,SMALL(Dong2,ROWS($1:4)),))</f>
        <v>Thu tiền hàng</v>
      </c>
      <c r="E15" s="152" t="str">
        <f ca="1">IF(ROWS($1:4)&gt;COUNT(Dong2),"",IF(OFFSET(TH!M$1,SMALL(Dong2,ROWS($1:4)),)=$I$6,OFFSET(TH!L$1,SMALL(Dong2,ROWS($1:4)),),OFFSET(TH!M$1,SMALL(Dong2,ROWS($1:4)),)))</f>
        <v>131</v>
      </c>
      <c r="F15" s="46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22732212</v>
      </c>
      <c r="G15" s="46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593">
        <f t="shared" ca="1" si="0"/>
        <v>24254800</v>
      </c>
      <c r="I15" s="466"/>
      <c r="L15" s="136"/>
    </row>
    <row r="16" spans="1:20" s="141" customFormat="1" ht="18.75" customHeight="1">
      <c r="A16" s="152">
        <f ca="1">IF(ROWS($1:5)&gt;COUNT(Dong2),"",OFFSET(TH!C$1,SMALL(Dong2,ROWS($1:5)),))</f>
        <v>41206</v>
      </c>
      <c r="B16" s="152" t="str">
        <f ca="1">IF(ROWS($1:5)&gt;COUNT(Dong2),"",OFFSET(TH!D$1,SMALL(Dong2,ROWS($1:5)),))</f>
        <v>GBC</v>
      </c>
      <c r="C16" s="152">
        <f ca="1">IF(ROWS($1:5)&gt;COUNT(Dong2),"",OFFSET(TH!E$1,SMALL(Dong2,ROWS($1:5)),))</f>
        <v>41206</v>
      </c>
      <c r="D16" s="224" t="str">
        <f ca="1">IF(ROWS($1:5)&gt;COUNT(Dong2),"",OFFSET(TH!F$1,SMALL(Dong2,ROWS($1:5)),))</f>
        <v>Thu tiền hàng</v>
      </c>
      <c r="E16" s="152" t="str">
        <f ca="1">IF(ROWS($1:5)&gt;COUNT(Dong2),"",IF(OFFSET(TH!M$1,SMALL(Dong2,ROWS($1:5)),)=$I$6,OFFSET(TH!L$1,SMALL(Dong2,ROWS($1:5)),),OFFSET(TH!M$1,SMALL(Dong2,ROWS($1:5)),)))</f>
        <v>131</v>
      </c>
      <c r="F16" s="46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8294000</v>
      </c>
      <c r="G16" s="46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93">
        <f t="shared" ca="1" si="0"/>
        <v>32548800</v>
      </c>
      <c r="I16" s="466"/>
      <c r="L16" s="136"/>
    </row>
    <row r="17" spans="1:20" s="141" customFormat="1" ht="18.75" customHeight="1">
      <c r="A17" s="152">
        <f ca="1">IF(ROWS($1:6)&gt;COUNT(Dong2),"",OFFSET(TH!C$1,SMALL(Dong2,ROWS($1:6)),))</f>
        <v>41207</v>
      </c>
      <c r="B17" s="152" t="str">
        <f ca="1">IF(ROWS($1:6)&gt;COUNT(Dong2),"",OFFSET(TH!D$1,SMALL(Dong2,ROWS($1:6)),))</f>
        <v>GBN</v>
      </c>
      <c r="C17" s="152">
        <f ca="1">IF(ROWS($1:6)&gt;COUNT(Dong2),"",OFFSET(TH!E$1,SMALL(Dong2,ROWS($1:6)),))</f>
        <v>41207</v>
      </c>
      <c r="D17" s="224" t="str">
        <f ca="1">IF(ROWS($1:6)&gt;COUNT(Dong2),"",OFFSET(TH!F$1,SMALL(Dong2,ROWS($1:6)),))</f>
        <v>Thu phí quản lý tài khoản</v>
      </c>
      <c r="E17" s="152" t="str">
        <f ca="1">IF(ROWS($1:6)&gt;COUNT(Dong2),"",IF(OFFSET(TH!M$1,SMALL(Dong2,ROWS($1:6)),)=$I$6,OFFSET(TH!L$1,SMALL(Dong2,ROWS($1:6)),),OFFSET(TH!M$1,SMALL(Dong2,ROWS($1:6)),)))</f>
        <v>642</v>
      </c>
      <c r="F17" s="46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46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11000</v>
      </c>
      <c r="H17" s="593">
        <f t="shared" ca="1" si="0"/>
        <v>32537800</v>
      </c>
      <c r="I17" s="466"/>
      <c r="L17" s="136"/>
    </row>
    <row r="18" spans="1:20" s="141" customFormat="1" ht="18.75" customHeight="1">
      <c r="A18" s="152">
        <f ca="1">IF(ROWS($1:7)&gt;COUNT(Dong2),"",OFFSET(TH!C$1,SMALL(Dong2,ROWS($1:7)),))</f>
        <v>41207</v>
      </c>
      <c r="B18" s="152" t="str">
        <f ca="1">IF(ROWS($1:7)&gt;COUNT(Dong2),"",OFFSET(TH!D$1,SMALL(Dong2,ROWS($1:7)),))</f>
        <v>GBC</v>
      </c>
      <c r="C18" s="152">
        <f ca="1">IF(ROWS($1:7)&gt;COUNT(Dong2),"",OFFSET(TH!E$1,SMALL(Dong2,ROWS($1:7)),))</f>
        <v>41207</v>
      </c>
      <c r="D18" s="224" t="str">
        <f ca="1">IF(ROWS($1:7)&gt;COUNT(Dong2),"",OFFSET(TH!F$1,SMALL(Dong2,ROWS($1:7)),))</f>
        <v>Lãi tiền gửi</v>
      </c>
      <c r="E18" s="152" t="str">
        <f ca="1">IF(ROWS($1:7)&gt;COUNT(Dong2),"",IF(OFFSET(TH!M$1,SMALL(Dong2,ROWS($1:7)),)=$I$6,OFFSET(TH!L$1,SMALL(Dong2,ROWS($1:7)),),OFFSET(TH!M$1,SMALL(Dong2,ROWS($1:7)),)))</f>
        <v>515</v>
      </c>
      <c r="F18" s="46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22296</v>
      </c>
      <c r="G18" s="46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93">
        <f t="shared" ca="1" si="0"/>
        <v>32560096</v>
      </c>
      <c r="I18" s="466"/>
      <c r="L18" s="136"/>
    </row>
    <row r="19" spans="1:20" s="141" customFormat="1" ht="18.75" customHeight="1">
      <c r="A19" s="152">
        <f ca="1">IF(ROWS($1:8)&gt;COUNT(Dong2),"",OFFSET(TH!C$1,SMALL(Dong2,ROWS($1:8)),))</f>
        <v>41214</v>
      </c>
      <c r="B19" s="152" t="str">
        <f ca="1">IF(ROWS($1:8)&gt;COUNT(Dong2),"",OFFSET(TH!D$1,SMALL(Dong2,ROWS($1:8)),))</f>
        <v>T02</v>
      </c>
      <c r="C19" s="152">
        <f ca="1">IF(ROWS($1:8)&gt;COUNT(Dong2),"",OFFSET(TH!E$1,SMALL(Dong2,ROWS($1:8)),))</f>
        <v>41214</v>
      </c>
      <c r="D19" s="224" t="str">
        <f ca="1">IF(ROWS($1:8)&gt;COUNT(Dong2),"",OFFSET(TH!F$1,SMALL(Dong2,ROWS($1:8)),))</f>
        <v>Rút sec nhập quỹ tiền mặt</v>
      </c>
      <c r="E19" s="152" t="str">
        <f ca="1">IF(ROWS($1:8)&gt;COUNT(Dong2),"",IF(OFFSET(TH!M$1,SMALL(Dong2,ROWS($1:8)),)=$I$6,OFFSET(TH!L$1,SMALL(Dong2,ROWS($1:8)),),OFFSET(TH!M$1,SMALL(Dong2,ROWS($1:8)),)))</f>
        <v>1111</v>
      </c>
      <c r="F19" s="46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6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31000000</v>
      </c>
      <c r="H19" s="593">
        <f t="shared" ca="1" si="0"/>
        <v>1560096</v>
      </c>
      <c r="I19" s="466"/>
      <c r="L19" s="136"/>
    </row>
    <row r="20" spans="1:20" s="141" customFormat="1" ht="18.75" customHeight="1">
      <c r="A20" s="152">
        <f ca="1">IF(ROWS($1:9)&gt;COUNT(Dong2),"",OFFSET(TH!C$1,SMALL(Dong2,ROWS($1:9)),))</f>
        <v>41220</v>
      </c>
      <c r="B20" s="152" t="str">
        <f ca="1">IF(ROWS($1:9)&gt;COUNT(Dong2),"",OFFSET(TH!D$1,SMALL(Dong2,ROWS($1:9)),))</f>
        <v>GBC</v>
      </c>
      <c r="C20" s="152">
        <f ca="1">IF(ROWS($1:9)&gt;COUNT(Dong2),"",OFFSET(TH!E$1,SMALL(Dong2,ROWS($1:9)),))</f>
        <v>41220</v>
      </c>
      <c r="D20" s="224" t="str">
        <f ca="1">IF(ROWS($1:9)&gt;COUNT(Dong2),"",OFFSET(TH!F$1,SMALL(Dong2,ROWS($1:9)),))</f>
        <v>Thu tiền hàng</v>
      </c>
      <c r="E20" s="152" t="str">
        <f ca="1">IF(ROWS($1:9)&gt;COUNT(Dong2),"",IF(OFFSET(TH!M$1,SMALL(Dong2,ROWS($1:9)),)=$I$6,OFFSET(TH!L$1,SMALL(Dong2,ROWS($1:9)),),OFFSET(TH!M$1,SMALL(Dong2,ROWS($1:9)),)))</f>
        <v>131</v>
      </c>
      <c r="F20" s="46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6956400</v>
      </c>
      <c r="G20" s="46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3">
        <f t="shared" ca="1" si="0"/>
        <v>8516496</v>
      </c>
      <c r="I20" s="466"/>
      <c r="L20" s="136"/>
    </row>
    <row r="21" spans="1:20" s="141" customFormat="1" ht="18.75" customHeight="1">
      <c r="A21" s="152">
        <f ca="1">IF(ROWS($1:10)&gt;COUNT(Dong2),"",OFFSET(TH!C$1,SMALL(Dong2,ROWS($1:10)),))</f>
        <v>41236</v>
      </c>
      <c r="B21" s="152" t="str">
        <f ca="1">IF(ROWS($1:10)&gt;COUNT(Dong2),"",OFFSET(TH!D$1,SMALL(Dong2,ROWS($1:10)),))</f>
        <v>T03</v>
      </c>
      <c r="C21" s="152">
        <f ca="1">IF(ROWS($1:10)&gt;COUNT(Dong2),"",OFFSET(TH!E$1,SMALL(Dong2,ROWS($1:10)),))</f>
        <v>41236</v>
      </c>
      <c r="D21" s="224" t="str">
        <f ca="1">IF(ROWS($1:10)&gt;COUNT(Dong2),"",OFFSET(TH!F$1,SMALL(Dong2,ROWS($1:10)),))</f>
        <v>Rút sec nhập quỹ tiền mặt</v>
      </c>
      <c r="E21" s="152" t="str">
        <f ca="1">IF(ROWS($1:10)&gt;COUNT(Dong2),"",IF(OFFSET(TH!M$1,SMALL(Dong2,ROWS($1:10)),)=$I$6,OFFSET(TH!L$1,SMALL(Dong2,ROWS($1:10)),),OFFSET(TH!M$1,SMALL(Dong2,ROWS($1:10)),)))</f>
        <v>1111</v>
      </c>
      <c r="F21" s="46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7500000</v>
      </c>
      <c r="H21" s="593">
        <f t="shared" ca="1" si="0"/>
        <v>1016496</v>
      </c>
      <c r="I21" s="466"/>
      <c r="L21" s="136"/>
      <c r="Q21" s="464"/>
    </row>
    <row r="22" spans="1:20" s="141" customFormat="1" ht="18.75" customHeight="1">
      <c r="A22" s="152">
        <f ca="1">IF(ROWS($1:11)&gt;COUNT(Dong2),"",OFFSET(TH!C$1,SMALL(Dong2,ROWS($1:11)),))</f>
        <v>41238</v>
      </c>
      <c r="B22" s="152" t="str">
        <f ca="1">IF(ROWS($1:11)&gt;COUNT(Dong2),"",OFFSET(TH!D$1,SMALL(Dong2,ROWS($1:11)),))</f>
        <v>GBC</v>
      </c>
      <c r="C22" s="152">
        <f ca="1">IF(ROWS($1:11)&gt;COUNT(Dong2),"",OFFSET(TH!E$1,SMALL(Dong2,ROWS($1:11)),))</f>
        <v>41238</v>
      </c>
      <c r="D22" s="224" t="str">
        <f ca="1">IF(ROWS($1:11)&gt;COUNT(Dong2),"",OFFSET(TH!F$1,SMALL(Dong2,ROWS($1:11)),))</f>
        <v>Lãi tiền gửi</v>
      </c>
      <c r="E22" s="152" t="str">
        <f ca="1">IF(ROWS($1:11)&gt;COUNT(Dong2),"",IF(OFFSET(TH!M$1,SMALL(Dong2,ROWS($1:11)),)=$I$6,OFFSET(TH!L$1,SMALL(Dong2,ROWS($1:11)),),OFFSET(TH!M$1,SMALL(Dong2,ROWS($1:11)),)))</f>
        <v>515</v>
      </c>
      <c r="F22" s="46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15290</v>
      </c>
      <c r="G22" s="46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593">
        <f t="shared" ca="1" si="0"/>
        <v>1031786</v>
      </c>
      <c r="I22" s="466"/>
      <c r="L22" s="136"/>
    </row>
    <row r="23" spans="1:20" s="141" customFormat="1" ht="18.75" customHeight="1">
      <c r="A23" s="152">
        <f ca="1">IF(ROWS($1:12)&gt;COUNT(Dong2),"",OFFSET(TH!C$1,SMALL(Dong2,ROWS($1:12)),))</f>
        <v>41238</v>
      </c>
      <c r="B23" s="152" t="str">
        <f ca="1">IF(ROWS($1:12)&gt;COUNT(Dong2),"",OFFSET(TH!D$1,SMALL(Dong2,ROWS($1:12)),))</f>
        <v>GBN</v>
      </c>
      <c r="C23" s="152">
        <f ca="1">IF(ROWS($1:12)&gt;COUNT(Dong2),"",OFFSET(TH!E$1,SMALL(Dong2,ROWS($1:12)),))</f>
        <v>41238</v>
      </c>
      <c r="D23" s="224" t="str">
        <f ca="1">IF(ROWS($1:12)&gt;COUNT(Dong2),"",OFFSET(TH!F$1,SMALL(Dong2,ROWS($1:12)),))</f>
        <v>Thu phí quản lý tài khoản</v>
      </c>
      <c r="E23" s="152" t="str">
        <f ca="1">IF(ROWS($1:12)&gt;COUNT(Dong2),"",IF(OFFSET(TH!M$1,SMALL(Dong2,ROWS($1:12)),)=$I$6,OFFSET(TH!L$1,SMALL(Dong2,ROWS($1:12)),),OFFSET(TH!M$1,SMALL(Dong2,ROWS($1:12)),)))</f>
        <v>642</v>
      </c>
      <c r="F23" s="46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46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11000</v>
      </c>
      <c r="H23" s="593">
        <f t="shared" ca="1" si="0"/>
        <v>1020786</v>
      </c>
      <c r="I23" s="466"/>
      <c r="L23" s="136"/>
      <c r="Q23" s="582"/>
    </row>
    <row r="24" spans="1:20" s="141" customFormat="1" ht="18.75" customHeight="1">
      <c r="A24" s="152">
        <f ca="1">IF(ROWS($1:13)&gt;COUNT(Dong2),"",OFFSET(TH!C$1,SMALL(Dong2,ROWS($1:13)),))</f>
        <v>41242</v>
      </c>
      <c r="B24" s="152" t="str">
        <f ca="1">IF(ROWS($1:13)&gt;COUNT(Dong2),"",OFFSET(TH!D$1,SMALL(Dong2,ROWS($1:13)),))</f>
        <v>GBC</v>
      </c>
      <c r="C24" s="152">
        <f ca="1">IF(ROWS($1:13)&gt;COUNT(Dong2),"",OFFSET(TH!E$1,SMALL(Dong2,ROWS($1:13)),))</f>
        <v>41242</v>
      </c>
      <c r="D24" s="224" t="str">
        <f ca="1">IF(ROWS($1:13)&gt;COUNT(Dong2),"",OFFSET(TH!F$1,SMALL(Dong2,ROWS($1:13)),))</f>
        <v>Thu tiền hàng</v>
      </c>
      <c r="E24" s="152" t="str">
        <f ca="1">IF(ROWS($1:13)&gt;COUNT(Dong2),"",IF(OFFSET(TH!M$1,SMALL(Dong2,ROWS($1:13)),)=$I$6,OFFSET(TH!L$1,SMALL(Dong2,ROWS($1:13)),),OFFSET(TH!M$1,SMALL(Dong2,ROWS($1:13)),)))</f>
        <v>131</v>
      </c>
      <c r="F24" s="46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8415000</v>
      </c>
      <c r="G24" s="46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593">
        <f t="shared" ca="1" si="0"/>
        <v>9435786</v>
      </c>
      <c r="I24" s="466"/>
      <c r="L24" s="136"/>
    </row>
    <row r="25" spans="1:20" s="141" customFormat="1" ht="18.75" customHeight="1">
      <c r="A25" s="152">
        <f ca="1">IF(ROWS($1:14)&gt;COUNT(Dong2),"",OFFSET(TH!C$1,SMALL(Dong2,ROWS($1:14)),))</f>
        <v>41250</v>
      </c>
      <c r="B25" s="152" t="str">
        <f ca="1">IF(ROWS($1:14)&gt;COUNT(Dong2),"",OFFSET(TH!D$1,SMALL(Dong2,ROWS($1:14)),))</f>
        <v>T04</v>
      </c>
      <c r="C25" s="152">
        <f ca="1">IF(ROWS($1:14)&gt;COUNT(Dong2),"",OFFSET(TH!E$1,SMALL(Dong2,ROWS($1:14)),))</f>
        <v>41250</v>
      </c>
      <c r="D25" s="224" t="str">
        <f ca="1">IF(ROWS($1:14)&gt;COUNT(Dong2),"",OFFSET(TH!F$1,SMALL(Dong2,ROWS($1:14)),))</f>
        <v>Rút sec nhập quỹ tiền mặt</v>
      </c>
      <c r="E25" s="152" t="str">
        <f ca="1">IF(ROWS($1:14)&gt;COUNT(Dong2),"",IF(OFFSET(TH!M$1,SMALL(Dong2,ROWS($1:14)),)=$I$6,OFFSET(TH!L$1,SMALL(Dong2,ROWS($1:14)),),OFFSET(TH!M$1,SMALL(Dong2,ROWS($1:14)),)))</f>
        <v>1111</v>
      </c>
      <c r="F25" s="46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8400000</v>
      </c>
      <c r="H25" s="593">
        <f t="shared" ca="1" si="0"/>
        <v>1035786</v>
      </c>
      <c r="I25" s="466"/>
      <c r="L25" s="136"/>
    </row>
    <row r="26" spans="1:20" s="141" customFormat="1" ht="18.75" customHeight="1">
      <c r="A26" s="152">
        <f ca="1">IF(ROWS($1:15)&gt;COUNT(Dong2),"",OFFSET(TH!C$1,SMALL(Dong2,ROWS($1:15)),))</f>
        <v>41268</v>
      </c>
      <c r="B26" s="152" t="str">
        <f ca="1">IF(ROWS($1:15)&gt;COUNT(Dong2),"",OFFSET(TH!D$1,SMALL(Dong2,ROWS($1:15)),))</f>
        <v>GBC</v>
      </c>
      <c r="C26" s="152">
        <f ca="1">IF(ROWS($1:15)&gt;COUNT(Dong2),"",OFFSET(TH!E$1,SMALL(Dong2,ROWS($1:15)),))</f>
        <v>41268</v>
      </c>
      <c r="D26" s="224" t="str">
        <f ca="1">IF(ROWS($1:15)&gt;COUNT(Dong2),"",OFFSET(TH!F$1,SMALL(Dong2,ROWS($1:15)),))</f>
        <v>Thu tiền hàng</v>
      </c>
      <c r="E26" s="152" t="str">
        <f ca="1">IF(ROWS($1:15)&gt;COUNT(Dong2),"",IF(OFFSET(TH!M$1,SMALL(Dong2,ROWS($1:15)),)=$I$6,OFFSET(TH!L$1,SMALL(Dong2,ROWS($1:15)),),OFFSET(TH!M$1,SMALL(Dong2,ROWS($1:15)),)))</f>
        <v>131</v>
      </c>
      <c r="F26" s="46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19077784</v>
      </c>
      <c r="G26" s="46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593">
        <f t="shared" ca="1" si="0"/>
        <v>20113570</v>
      </c>
      <c r="I26" s="466"/>
      <c r="L26" s="136"/>
    </row>
    <row r="27" spans="1:20" s="141" customFormat="1" ht="18.75" customHeight="1">
      <c r="A27" s="152">
        <f ca="1">IF(ROWS($1:16)&gt;COUNT(Dong2),"",OFFSET(TH!C$1,SMALL(Dong2,ROWS($1:16)),))</f>
        <v>41271</v>
      </c>
      <c r="B27" s="152" t="str">
        <f ca="1">IF(ROWS($1:16)&gt;COUNT(Dong2),"",OFFSET(TH!D$1,SMALL(Dong2,ROWS($1:16)),))</f>
        <v>T05</v>
      </c>
      <c r="C27" s="152">
        <f ca="1">IF(ROWS($1:16)&gt;COUNT(Dong2),"",OFFSET(TH!E$1,SMALL(Dong2,ROWS($1:16)),))</f>
        <v>41271</v>
      </c>
      <c r="D27" s="224" t="str">
        <f ca="1">IF(ROWS($1:16)&gt;COUNT(Dong2),"",OFFSET(TH!F$1,SMALL(Dong2,ROWS($1:16)),))</f>
        <v>Rút sec nhập quỹ tiền mặt</v>
      </c>
      <c r="E27" s="152" t="str">
        <f ca="1">IF(ROWS($1:16)&gt;COUNT(Dong2),"",IF(OFFSET(TH!M$1,SMALL(Dong2,ROWS($1:16)),)=$I$6,OFFSET(TH!L$1,SMALL(Dong2,ROWS($1:16)),),OFFSET(TH!M$1,SMALL(Dong2,ROWS($1:16)),)))</f>
        <v>1111</v>
      </c>
      <c r="F27" s="46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6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19000000</v>
      </c>
      <c r="H27" s="593">
        <f t="shared" ca="1" si="0"/>
        <v>1113570</v>
      </c>
      <c r="I27" s="466"/>
      <c r="L27" s="136"/>
    </row>
    <row r="28" spans="1:20" s="141" customFormat="1" ht="18.75" customHeight="1">
      <c r="A28" s="152">
        <f ca="1">IF(ROWS($1:17)&gt;COUNT(Dong2),"",OFFSET(TH!C$1,SMALL(Dong2,ROWS($1:17)),))</f>
        <v>41274</v>
      </c>
      <c r="B28" s="152" t="str">
        <f ca="1">IF(ROWS($1:17)&gt;COUNT(Dong2),"",OFFSET(TH!D$1,SMALL(Dong2,ROWS($1:17)),))</f>
        <v>GBC</v>
      </c>
      <c r="C28" s="152">
        <f ca="1">IF(ROWS($1:17)&gt;COUNT(Dong2),"",OFFSET(TH!E$1,SMALL(Dong2,ROWS($1:17)),))</f>
        <v>41274</v>
      </c>
      <c r="D28" s="224" t="str">
        <f ca="1">IF(ROWS($1:17)&gt;COUNT(Dong2),"",OFFSET(TH!F$1,SMALL(Dong2,ROWS($1:17)),))</f>
        <v>Lãi tiền gửi</v>
      </c>
      <c r="E28" s="152" t="str">
        <f ca="1">IF(ROWS($1:17)&gt;COUNT(Dong2),"",IF(OFFSET(TH!M$1,SMALL(Dong2,ROWS($1:17)),)=$I$6,OFFSET(TH!L$1,SMALL(Dong2,ROWS($1:17)),),OFFSET(TH!M$1,SMALL(Dong2,ROWS($1:17)),)))</f>
        <v>515</v>
      </c>
      <c r="F28" s="46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7199</v>
      </c>
      <c r="G28" s="46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93">
        <f t="shared" ca="1" si="0"/>
        <v>1120769</v>
      </c>
      <c r="I28" s="466"/>
      <c r="L28" s="136"/>
    </row>
    <row r="29" spans="1:20" s="141" customFormat="1" ht="18.75" customHeight="1">
      <c r="A29" s="152">
        <f ca="1">IF(ROWS($1:18)&gt;COUNT(Dong2),"",OFFSET(TH!C$1,SMALL(Dong2,ROWS($1:18)),))</f>
        <v>41274</v>
      </c>
      <c r="B29" s="152" t="str">
        <f ca="1">IF(ROWS($1:18)&gt;COUNT(Dong2),"",OFFSET(TH!D$1,SMALL(Dong2,ROWS($1:18)),))</f>
        <v>GBN</v>
      </c>
      <c r="C29" s="152">
        <f ca="1">IF(ROWS($1:18)&gt;COUNT(Dong2),"",OFFSET(TH!E$1,SMALL(Dong2,ROWS($1:18)),))</f>
        <v>41274</v>
      </c>
      <c r="D29" s="224" t="str">
        <f ca="1">IF(ROWS($1:18)&gt;COUNT(Dong2),"",OFFSET(TH!F$1,SMALL(Dong2,ROWS($1:18)),))</f>
        <v>Thu phí quản lý tài khoản</v>
      </c>
      <c r="E29" s="152" t="str">
        <f ca="1">IF(ROWS($1:18)&gt;COUNT(Dong2),"",IF(OFFSET(TH!M$1,SMALL(Dong2,ROWS($1:18)),)=$I$6,OFFSET(TH!L$1,SMALL(Dong2,ROWS($1:18)),),OFFSET(TH!M$1,SMALL(Dong2,ROWS($1:18)),)))</f>
        <v>642</v>
      </c>
      <c r="F29" s="46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11000</v>
      </c>
      <c r="H29" s="593">
        <f t="shared" ca="1" si="0"/>
        <v>1109769</v>
      </c>
      <c r="I29" s="466"/>
      <c r="L29" s="136"/>
    </row>
    <row r="30" spans="1:20" s="141" customFormat="1" ht="18.75" customHeight="1">
      <c r="A30" s="152"/>
      <c r="B30" s="152"/>
      <c r="C30" s="152"/>
      <c r="D30" s="224"/>
      <c r="E30" s="152"/>
      <c r="F30" s="469"/>
      <c r="G30" s="469"/>
      <c r="H30" s="593"/>
      <c r="I30" s="466"/>
      <c r="Q30" s="151"/>
      <c r="R30" s="151"/>
      <c r="S30" s="151"/>
      <c r="T30" s="151"/>
    </row>
    <row r="31" spans="1:20" s="151" customFormat="1" ht="18.75" customHeight="1">
      <c r="A31" s="153"/>
      <c r="B31" s="154"/>
      <c r="C31" s="153"/>
      <c r="D31" s="150" t="s">
        <v>133</v>
      </c>
      <c r="E31" s="155"/>
      <c r="F31" s="468">
        <f ca="1">SUM(F12:F30)</f>
        <v>73544593</v>
      </c>
      <c r="G31" s="468">
        <f ca="1">SUM(G12:G30)</f>
        <v>93955000</v>
      </c>
      <c r="H31" s="468">
        <f ca="1">H11+F31-G31</f>
        <v>1109769</v>
      </c>
      <c r="I31" s="467"/>
    </row>
    <row r="32" spans="1:20" s="151" customFormat="1" ht="18.75" customHeight="1">
      <c r="A32" s="153"/>
      <c r="B32" s="154"/>
      <c r="C32" s="153"/>
      <c r="D32" s="150" t="s">
        <v>10</v>
      </c>
      <c r="E32" s="155"/>
      <c r="F32" s="156"/>
      <c r="G32" s="156"/>
      <c r="H32" s="468">
        <f ca="1">H31</f>
        <v>1109769</v>
      </c>
      <c r="I32" s="155"/>
    </row>
    <row r="33" spans="1:20" s="151" customFormat="1" ht="22.5" customHeight="1">
      <c r="A33" s="241" t="s">
        <v>155</v>
      </c>
      <c r="B33" s="157"/>
      <c r="F33" s="158"/>
      <c r="H33" s="587"/>
      <c r="I33" s="159"/>
    </row>
    <row r="34" spans="1:20" s="151" customFormat="1" ht="12.75">
      <c r="A34" s="176" t="str">
        <f ca="1">"- Ngày mở sổ: "&amp;DAY($A$12)&amp;"/"&amp;MONTH($A$12)&amp;"/ " &amp;YEAR($A$12)</f>
        <v>- Ngày mở sổ: 1/10/ 2012</v>
      </c>
      <c r="B34" s="160"/>
      <c r="F34" s="158"/>
      <c r="H34" s="587"/>
      <c r="I34" s="159"/>
    </row>
    <row r="35" spans="1:20" s="151" customFormat="1" ht="12.75">
      <c r="A35" s="161"/>
      <c r="B35" s="162"/>
      <c r="C35" s="163"/>
      <c r="F35" s="158"/>
      <c r="G35" s="186" t="str">
        <f ca="1">"Ngày "&amp;IF(OR($K$9=4,$K$9=6,$K$9=9,$K$9=11),"30",IF($K$9=2,"28","31"))&amp;"  tháng  "&amp;$O$8&amp;"  năm   "&amp;YEAR($A$12)</f>
        <v>Ngày 31  tháng  12  năm   2012</v>
      </c>
      <c r="H35" s="587"/>
    </row>
    <row r="36" spans="1:20" s="151" customFormat="1" ht="17.25" customHeight="1">
      <c r="B36" s="164" t="s">
        <v>11</v>
      </c>
      <c r="D36" s="164" t="s">
        <v>12</v>
      </c>
      <c r="F36" s="165"/>
      <c r="G36" s="206" t="s">
        <v>109</v>
      </c>
      <c r="H36" s="588"/>
      <c r="I36" s="225"/>
      <c r="J36" s="166"/>
      <c r="K36" s="161"/>
      <c r="L36" s="161"/>
    </row>
    <row r="37" spans="1:20" s="151" customFormat="1">
      <c r="B37" s="207" t="s">
        <v>13</v>
      </c>
      <c r="D37" s="167" t="s">
        <v>13</v>
      </c>
      <c r="F37" s="168"/>
      <c r="G37" s="208" t="s">
        <v>136</v>
      </c>
      <c r="H37" s="587"/>
      <c r="K37" s="169"/>
      <c r="L37" s="169"/>
      <c r="Q37" s="170"/>
      <c r="R37" s="170"/>
      <c r="S37" s="170"/>
      <c r="T37" s="170"/>
    </row>
  </sheetData>
  <autoFilter ref="A10:K34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9"/>
  <sheetViews>
    <sheetView showZeros="0" topLeftCell="A3" workbookViewId="0">
      <pane ySplit="3" topLeftCell="A6" activePane="bottomLeft" state="frozen"/>
      <selection activeCell="A3" sqref="A3"/>
      <selection pane="bottomLeft" activeCell="A42" sqref="A22:XFD42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6" t="str">
        <f>TH!$A$1</f>
        <v>Đơn vị: CÔNG TY TNHH MỘT THÀNH VIÊN KHỞI NGUYÊN AN</v>
      </c>
    </row>
    <row r="2" spans="1:9">
      <c r="A2" s="837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7" t="s">
        <v>350</v>
      </c>
      <c r="B3" s="937"/>
      <c r="C3" s="937"/>
      <c r="D3" s="937"/>
      <c r="E3" s="937"/>
      <c r="F3" s="937"/>
      <c r="G3" s="937"/>
      <c r="H3" s="937"/>
    </row>
    <row r="4" spans="1:9" s="10" customFormat="1" ht="14.25" customHeight="1">
      <c r="A4" s="938" t="s">
        <v>35</v>
      </c>
      <c r="B4" s="940" t="s">
        <v>36</v>
      </c>
      <c r="C4" s="942" t="s">
        <v>37</v>
      </c>
      <c r="D4" s="943"/>
      <c r="E4" s="942" t="s">
        <v>38</v>
      </c>
      <c r="F4" s="943"/>
      <c r="G4" s="942" t="s">
        <v>41</v>
      </c>
      <c r="H4" s="943"/>
    </row>
    <row r="5" spans="1:9" s="10" customFormat="1" ht="14.25" customHeight="1">
      <c r="A5" s="939"/>
      <c r="B5" s="941"/>
      <c r="C5" s="599" t="s">
        <v>42</v>
      </c>
      <c r="D5" s="599" t="s">
        <v>43</v>
      </c>
      <c r="E5" s="599" t="s">
        <v>42</v>
      </c>
      <c r="F5" s="599" t="s">
        <v>43</v>
      </c>
      <c r="G5" s="599" t="s">
        <v>42</v>
      </c>
      <c r="H5" s="599" t="s">
        <v>43</v>
      </c>
    </row>
    <row r="6" spans="1:9" s="10" customFormat="1" ht="16.5" customHeight="1">
      <c r="A6" s="6">
        <f t="shared" ref="A6:A21" si="0">IF(B6&lt;&gt;"",ROW()-5,"")</f>
        <v>1</v>
      </c>
      <c r="B6" s="189" t="s">
        <v>719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20532600</v>
      </c>
      <c r="G6" s="53">
        <f t="shared" ref="G6:G21" si="1">ROUND(MAX(C6+E6-D6-F6,0),2)</f>
        <v>0</v>
      </c>
      <c r="H6" s="53">
        <f t="shared" ref="H6:H21" si="2">ROUND(MAX(D6+F6-C6-E6,0),2)</f>
        <v>20532600</v>
      </c>
    </row>
    <row r="7" spans="1:9" s="10" customFormat="1" ht="16.5" customHeight="1">
      <c r="A7" s="6">
        <f t="shared" si="0"/>
        <v>2</v>
      </c>
      <c r="B7" s="189" t="s">
        <v>720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8024412</v>
      </c>
      <c r="G7" s="53">
        <f t="shared" si="1"/>
        <v>0</v>
      </c>
      <c r="H7" s="53">
        <f t="shared" si="2"/>
        <v>8024412</v>
      </c>
      <c r="I7" s="10" t="str">
        <f>IF(ISNA(VLOOKUP(B7,'131'!$B$4:$B$21,1,0)),"","x")</f>
        <v>x</v>
      </c>
    </row>
    <row r="8" spans="1:9" s="10" customFormat="1" ht="16.5" customHeight="1">
      <c r="A8" s="6">
        <f t="shared" si="0"/>
        <v>3</v>
      </c>
      <c r="B8" s="189" t="s">
        <v>724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29688612</v>
      </c>
      <c r="G8" s="53">
        <f t="shared" si="1"/>
        <v>0</v>
      </c>
      <c r="H8" s="53">
        <f t="shared" si="2"/>
        <v>29688612</v>
      </c>
      <c r="I8" s="10" t="str">
        <f>IF(ISNA(VLOOKUP(B8,'131'!$B$4:$B$21,1,0)),"","x")</f>
        <v>x</v>
      </c>
    </row>
    <row r="9" spans="1:9" s="10" customFormat="1" ht="16.5" customHeight="1">
      <c r="A9" s="6">
        <f t="shared" si="0"/>
        <v>4</v>
      </c>
      <c r="B9" s="189" t="s">
        <v>725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8294000</v>
      </c>
      <c r="G9" s="53">
        <f t="shared" si="1"/>
        <v>0</v>
      </c>
      <c r="H9" s="53">
        <f t="shared" si="2"/>
        <v>8294000</v>
      </c>
      <c r="I9" s="10" t="str">
        <f>IF(ISNA(VLOOKUP(B9,'131'!$B$4:$B$21,1,0)),"","x")</f>
        <v>x</v>
      </c>
    </row>
    <row r="10" spans="1:9" s="10" customFormat="1" ht="16.5" customHeight="1">
      <c r="A10" s="6">
        <f t="shared" si="0"/>
        <v>5</v>
      </c>
      <c r="B10" s="189" t="s">
        <v>726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8415000</v>
      </c>
      <c r="G10" s="53">
        <f t="shared" si="1"/>
        <v>0</v>
      </c>
      <c r="H10" s="53">
        <f t="shared" si="2"/>
        <v>8415000</v>
      </c>
    </row>
    <row r="11" spans="1:9" s="10" customFormat="1" ht="16.5" customHeight="1">
      <c r="A11" s="6">
        <f t="shared" si="0"/>
        <v>6</v>
      </c>
      <c r="B11" s="189" t="s">
        <v>728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19077784</v>
      </c>
      <c r="G11" s="53">
        <f t="shared" si="1"/>
        <v>0</v>
      </c>
      <c r="H11" s="53">
        <f t="shared" si="2"/>
        <v>19077784</v>
      </c>
    </row>
    <row r="12" spans="1:9" s="10" customFormat="1" ht="16.5" customHeight="1">
      <c r="A12" s="6" t="str">
        <f t="shared" si="0"/>
        <v/>
      </c>
      <c r="B12" s="189"/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53">
        <f t="shared" si="1"/>
        <v>0</v>
      </c>
      <c r="H12" s="53">
        <f t="shared" si="2"/>
        <v>0</v>
      </c>
    </row>
    <row r="13" spans="1:9" s="10" customFormat="1" ht="16.5" customHeight="1">
      <c r="A13" s="6" t="str">
        <f t="shared" si="0"/>
        <v/>
      </c>
      <c r="B13" s="7"/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84">
        <f t="shared" si="1"/>
        <v>0</v>
      </c>
      <c r="H13" s="784">
        <f t="shared" si="2"/>
        <v>0</v>
      </c>
    </row>
    <row r="14" spans="1:9" s="10" customFormat="1" ht="16.5" customHeight="1">
      <c r="A14" s="6" t="str">
        <f t="shared" si="0"/>
        <v/>
      </c>
      <c r="B14" s="7"/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84">
        <f t="shared" si="1"/>
        <v>0</v>
      </c>
      <c r="H14" s="784">
        <f t="shared" si="2"/>
        <v>0</v>
      </c>
      <c r="I14" s="10" t="str">
        <f>IF(ISNA(VLOOKUP(B14,'131'!$B$4:$B$21,1,0)),"","x")</f>
        <v/>
      </c>
    </row>
    <row r="15" spans="1:9" s="10" customFormat="1" ht="16.5" customHeight="1">
      <c r="A15" s="6" t="str">
        <f t="shared" si="0"/>
        <v/>
      </c>
      <c r="B15" s="189"/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84">
        <f t="shared" si="1"/>
        <v>0</v>
      </c>
      <c r="H15" s="784">
        <f t="shared" si="2"/>
        <v>0</v>
      </c>
    </row>
    <row r="16" spans="1:9" s="10" customFormat="1" ht="16.5" customHeight="1">
      <c r="A16" s="6" t="str">
        <f t="shared" si="0"/>
        <v/>
      </c>
      <c r="B16" s="189"/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84">
        <f t="shared" si="1"/>
        <v>0</v>
      </c>
      <c r="H16" s="784">
        <f t="shared" si="2"/>
        <v>0</v>
      </c>
    </row>
    <row r="17" spans="1:9" s="10" customFormat="1" ht="16.5" customHeight="1">
      <c r="A17" s="6" t="str">
        <f t="shared" si="0"/>
        <v/>
      </c>
      <c r="B17" s="189"/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84">
        <f t="shared" si="1"/>
        <v>0</v>
      </c>
      <c r="H17" s="784">
        <f t="shared" si="2"/>
        <v>0</v>
      </c>
      <c r="I17" s="10" t="str">
        <f>IF(ISNA(VLOOKUP(B17,'131'!$B$4:$B$21,1,0)),"","x")</f>
        <v/>
      </c>
    </row>
    <row r="18" spans="1:9" s="10" customFormat="1" ht="16.5" customHeight="1">
      <c r="A18" s="6" t="str">
        <f t="shared" si="0"/>
        <v/>
      </c>
      <c r="B18" s="189"/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84">
        <f t="shared" si="1"/>
        <v>0</v>
      </c>
      <c r="H18" s="784">
        <f t="shared" si="2"/>
        <v>0</v>
      </c>
    </row>
    <row r="19" spans="1:9" s="10" customFormat="1" ht="16.5" customHeight="1">
      <c r="A19" s="6" t="str">
        <f t="shared" si="0"/>
        <v/>
      </c>
      <c r="B19" s="189"/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84">
        <f t="shared" si="1"/>
        <v>0</v>
      </c>
      <c r="H19" s="784">
        <f t="shared" si="2"/>
        <v>0</v>
      </c>
    </row>
    <row r="20" spans="1:9" s="10" customFormat="1" ht="16.5" customHeight="1">
      <c r="A20" s="6" t="str">
        <f t="shared" si="0"/>
        <v/>
      </c>
      <c r="B20" s="7"/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84">
        <f t="shared" si="1"/>
        <v>0</v>
      </c>
      <c r="H20" s="784">
        <f t="shared" si="2"/>
        <v>0</v>
      </c>
    </row>
    <row r="21" spans="1:9" s="10" customFormat="1" ht="16.5" customHeight="1">
      <c r="A21" s="6" t="str">
        <f t="shared" si="0"/>
        <v/>
      </c>
      <c r="B21" s="7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84">
        <f t="shared" si="1"/>
        <v>0</v>
      </c>
      <c r="H21" s="784">
        <f t="shared" si="2"/>
        <v>0</v>
      </c>
    </row>
    <row r="22" spans="1:9" s="10" customFormat="1" ht="16.5" customHeight="1">
      <c r="A22" s="6" t="str">
        <f t="shared" ref="A22" si="3">IF(B22&lt;&gt;"",ROW()-3,"")</f>
        <v/>
      </c>
      <c r="B22" s="43"/>
      <c r="C22" s="8"/>
      <c r="D22" s="8"/>
      <c r="E22" s="8"/>
      <c r="F22" s="8"/>
      <c r="G22" s="53"/>
      <c r="H22" s="53"/>
      <c r="I22" s="10" t="str">
        <f>IF(ISNA(VLOOKUP(B22,'131'!$B$4:$B$21,1,0)),"","x")</f>
        <v/>
      </c>
    </row>
    <row r="23" spans="1:9" s="14" customFormat="1" ht="14.25" customHeight="1">
      <c r="A23" s="11"/>
      <c r="B23" s="12" t="s">
        <v>39</v>
      </c>
      <c r="C23" s="13">
        <f>SUM(C6:C22)</f>
        <v>0</v>
      </c>
      <c r="D23" s="13">
        <f>SUM(D6:D22)</f>
        <v>0</v>
      </c>
      <c r="E23" s="13">
        <f>SUM(E6:E22)</f>
        <v>0</v>
      </c>
      <c r="F23" s="13">
        <f>SUM(F6:F22)</f>
        <v>94032408</v>
      </c>
      <c r="G23" s="13">
        <f>SUM(G6:G22)</f>
        <v>0</v>
      </c>
      <c r="H23" s="13">
        <f>SUM(H6:H22)</f>
        <v>94032408</v>
      </c>
    </row>
    <row r="24" spans="1:9">
      <c r="E24" s="15">
        <f>CDPS!E14</f>
        <v>0</v>
      </c>
      <c r="F24" s="15">
        <f>CDPS!F14</f>
        <v>94032408</v>
      </c>
    </row>
    <row r="25" spans="1:9">
      <c r="E25" s="15">
        <f>E23-E24</f>
        <v>0</v>
      </c>
      <c r="F25" s="15">
        <f>F23-F24</f>
        <v>0</v>
      </c>
    </row>
    <row r="27" spans="1:9">
      <c r="E27" s="15"/>
      <c r="F27" s="936" t="s">
        <v>586</v>
      </c>
      <c r="G27" s="936"/>
      <c r="H27" s="936"/>
    </row>
    <row r="28" spans="1:9">
      <c r="F28" s="936" t="s">
        <v>109</v>
      </c>
      <c r="G28" s="936"/>
      <c r="H28" s="936"/>
    </row>
    <row r="29" spans="1:9">
      <c r="E29" s="179"/>
      <c r="F29" s="936" t="s">
        <v>136</v>
      </c>
      <c r="G29" s="936"/>
      <c r="H29" s="936"/>
    </row>
  </sheetData>
  <sortState ref="A6:I31">
    <sortCondition ref="B6:B31"/>
  </sortState>
  <mergeCells count="9">
    <mergeCell ref="F27:H27"/>
    <mergeCell ref="F28:H28"/>
    <mergeCell ref="F29:H29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3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8" customFormat="1" ht="14.25" customHeight="1">
      <c r="A1" s="604" t="str">
        <f>TH!A1</f>
        <v>Đơn vị: CÔNG TY TNHH MỘT THÀNH VIÊN KHỞI NGUYÊN AN</v>
      </c>
      <c r="B1" s="596"/>
      <c r="C1" s="596"/>
      <c r="G1" s="2"/>
      <c r="H1" s="946" t="s">
        <v>46</v>
      </c>
      <c r="I1" s="946"/>
      <c r="J1" s="946"/>
    </row>
    <row r="2" spans="1:10" s="458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596"/>
      <c r="C2" s="596"/>
      <c r="G2" s="17"/>
      <c r="H2" s="947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47"/>
      <c r="J2" s="947"/>
    </row>
    <row r="3" spans="1:10" s="458" customFormat="1" ht="14.25" customHeight="1">
      <c r="A3" s="598"/>
      <c r="B3" s="596"/>
      <c r="C3" s="596"/>
      <c r="G3" s="17"/>
      <c r="H3" s="947"/>
      <c r="I3" s="947"/>
      <c r="J3" s="947"/>
    </row>
    <row r="4" spans="1:10" s="5" customFormat="1" ht="28.5" customHeight="1">
      <c r="A4" s="948" t="s">
        <v>26</v>
      </c>
      <c r="B4" s="948"/>
      <c r="C4" s="948"/>
      <c r="D4" s="948"/>
      <c r="E4" s="948"/>
      <c r="F4" s="948"/>
      <c r="G4" s="948"/>
      <c r="H4" s="948"/>
      <c r="I4" s="948"/>
      <c r="J4" s="948"/>
    </row>
    <row r="5" spans="1:10" s="18" customFormat="1" ht="14.25" customHeight="1">
      <c r="E5" s="594" t="s">
        <v>27</v>
      </c>
    </row>
    <row r="6" spans="1:10" s="18" customFormat="1" ht="14.25" customHeight="1">
      <c r="E6" s="594" t="s">
        <v>353</v>
      </c>
    </row>
    <row r="7" spans="1:10" s="18" customFormat="1" ht="14.25" customHeight="1">
      <c r="D7" s="20" t="s">
        <v>45</v>
      </c>
      <c r="E7" s="949" t="s">
        <v>612</v>
      </c>
      <c r="F7" s="949"/>
      <c r="G7" s="949"/>
      <c r="H7" s="949"/>
    </row>
    <row r="8" spans="1:10" s="18" customFormat="1" ht="14.25" customHeight="1">
      <c r="E8" s="594" t="s">
        <v>29</v>
      </c>
    </row>
    <row r="9" spans="1:10" s="18" customFormat="1" ht="6.75" customHeight="1">
      <c r="B9" s="594"/>
      <c r="C9" s="950"/>
      <c r="D9" s="950"/>
      <c r="E9" s="950"/>
      <c r="F9" s="950"/>
      <c r="G9" s="950"/>
      <c r="H9" s="950"/>
      <c r="I9" s="950"/>
      <c r="J9" s="950"/>
    </row>
    <row r="10" spans="1:10" s="18" customFormat="1" ht="14.25" customHeight="1">
      <c r="A10" s="913" t="s">
        <v>20</v>
      </c>
      <c r="B10" s="951" t="s">
        <v>1</v>
      </c>
      <c r="C10" s="951"/>
      <c r="D10" s="913" t="s">
        <v>0</v>
      </c>
      <c r="E10" s="913" t="s">
        <v>14</v>
      </c>
      <c r="F10" s="913" t="s">
        <v>30</v>
      </c>
      <c r="G10" s="944" t="s">
        <v>21</v>
      </c>
      <c r="H10" s="945"/>
      <c r="I10" s="944" t="s">
        <v>31</v>
      </c>
      <c r="J10" s="945"/>
    </row>
    <row r="11" spans="1:10" s="18" customFormat="1" ht="24.75" customHeight="1">
      <c r="A11" s="913"/>
      <c r="B11" s="30" t="s">
        <v>15</v>
      </c>
      <c r="C11" s="30" t="s">
        <v>32</v>
      </c>
      <c r="D11" s="913"/>
      <c r="E11" s="913"/>
      <c r="F11" s="91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0" t="s">
        <v>2</v>
      </c>
      <c r="B12" s="601" t="s">
        <v>3</v>
      </c>
      <c r="C12" s="600" t="s">
        <v>4</v>
      </c>
      <c r="D12" s="600" t="s">
        <v>5</v>
      </c>
      <c r="E12" s="600" t="s">
        <v>6</v>
      </c>
      <c r="F12" s="600">
        <v>1</v>
      </c>
      <c r="G12" s="600">
        <v>2</v>
      </c>
      <c r="H12" s="600">
        <v>3</v>
      </c>
      <c r="I12" s="600">
        <v>4</v>
      </c>
      <c r="J12" s="600">
        <v>5</v>
      </c>
    </row>
    <row r="13" spans="1:10" s="18" customFormat="1" ht="18" customHeight="1">
      <c r="A13" s="600"/>
      <c r="B13" s="600"/>
      <c r="C13" s="600"/>
      <c r="D13" s="23" t="s">
        <v>7</v>
      </c>
      <c r="E13" s="600"/>
      <c r="F13" s="24"/>
      <c r="G13" s="24"/>
      <c r="H13" s="24"/>
      <c r="I13" s="45" t="e">
        <f>VLOOKUP($E$7,'131'!$B$6:$H$22,2,0)</f>
        <v>#N/A</v>
      </c>
      <c r="J13" s="45" t="e">
        <f>VLOOKUP($E$7,'131'!$B$6:$H$22,3,0)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5" t="str">
        <f ca="1">IF(ROWS($1:1)&gt;COUNT(Dong14),"",OFFSET(TH!F$1,SMALL(Dong14,ROWS($1:1)),))</f>
        <v/>
      </c>
      <c r="E14" s="44" t="str">
        <f ca="1">IF(ROWS($1:1)&gt;COUNT(Dong14),"",IF(OFFSET(TH!L$1,SMALL(Dong14,ROWS($1:1)),)="331",OFFSET(TH!M$1,SMALL(Dong14,ROWS($1:1)),),OFFSET(TH!L$1,SMALL(Dong14,ROWS($1:1)),)))</f>
        <v/>
      </c>
      <c r="F14" s="44"/>
      <c r="G14" s="56" t="str">
        <f ca="1">IF(ROWS($1:1)&gt;COUNT(Dong14),"",IF(OFFSET(TH!L$1,SMALL(Dong14,ROWS($1:1)),)="131",OFFSET(TH!K$1,SMALL(Dong14,ROWS($1:1)),),0))</f>
        <v/>
      </c>
      <c r="H14" s="56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5" t="str">
        <f ca="1">IF(ROWS($1:2)&gt;COUNT(Dong14),"",OFFSET(TH!F$1,SMALL(Dong14,ROWS($1:2)),))</f>
        <v/>
      </c>
      <c r="E15" s="44" t="str">
        <f ca="1">IF(ROWS($1:2)&gt;COUNT(Dong14),"",IF(OFFSET(TH!L$1,SMALL(Dong14,ROWS($1:2)),)="331",OFFSET(TH!M$1,SMALL(Dong14,ROWS($1:2)),),OFFSET(TH!L$1,SMALL(Dong14,ROWS($1:2)),)))</f>
        <v/>
      </c>
      <c r="F15" s="44"/>
      <c r="G15" s="56" t="str">
        <f ca="1">IF(ROWS($1:2)&gt;COUNT(Dong14),"",IF(OFFSET(TH!L$1,SMALL(Dong14,ROWS($1:2)),)="131",OFFSET(TH!K$1,SMALL(Dong14,ROWS($1:2)),),0))</f>
        <v/>
      </c>
      <c r="H15" s="56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5" t="str">
        <f ca="1">IF(ROWS($1:3)&gt;COUNT(Dong14),"",OFFSET(TH!F$1,SMALL(Dong14,ROWS($1:3)),))</f>
        <v/>
      </c>
      <c r="E16" s="44" t="str">
        <f ca="1">IF(ROWS($1:3)&gt;COUNT(Dong14),"",IF(OFFSET(TH!L$1,SMALL(Dong14,ROWS($1:3)),)="331",OFFSET(TH!M$1,SMALL(Dong14,ROWS($1:3)),),OFFSET(TH!L$1,SMALL(Dong14,ROWS($1:3)),)))</f>
        <v/>
      </c>
      <c r="F16" s="44"/>
      <c r="G16" s="56" t="str">
        <f ca="1">IF(ROWS($1:3)&gt;COUNT(Dong14),"",IF(OFFSET(TH!L$1,SMALL(Dong14,ROWS($1:3)),)="131",OFFSET(TH!K$1,SMALL(Dong14,ROWS($1:3)),),0))</f>
        <v/>
      </c>
      <c r="H16" s="56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5" t="str">
        <f ca="1">IF(ROWS($1:4)&gt;COUNT(Dong14),"",OFFSET(TH!F$1,SMALL(Dong14,ROWS($1:4)),))</f>
        <v/>
      </c>
      <c r="E17" s="44" t="str">
        <f ca="1">IF(ROWS($1:4)&gt;COUNT(Dong14),"",IF(OFFSET(TH!L$1,SMALL(Dong14,ROWS($1:4)),)="331",OFFSET(TH!M$1,SMALL(Dong14,ROWS($1:4)),),OFFSET(TH!L$1,SMALL(Dong14,ROWS($1:4)),)))</f>
        <v/>
      </c>
      <c r="F17" s="44"/>
      <c r="G17" s="56" t="str">
        <f ca="1">IF(ROWS($1:4)&gt;COUNT(Dong14),"",IF(OFFSET(TH!L$1,SMALL(Dong14,ROWS($1:4)),)="131",OFFSET(TH!K$1,SMALL(Dong14,ROWS($1:4)),),0))</f>
        <v/>
      </c>
      <c r="H17" s="56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5" t="str">
        <f ca="1">IF(ROWS($1:5)&gt;COUNT(Dong14),"",OFFSET(TH!F$1,SMALL(Dong14,ROWS($1:5)),))</f>
        <v/>
      </c>
      <c r="E18" s="44" t="str">
        <f ca="1">IF(ROWS($1:5)&gt;COUNT(Dong14),"",IF(OFFSET(TH!L$1,SMALL(Dong14,ROWS($1:5)),)="331",OFFSET(TH!M$1,SMALL(Dong14,ROWS($1:5)),),OFFSET(TH!L$1,SMALL(Dong14,ROWS($1:5)),)))</f>
        <v/>
      </c>
      <c r="F18" s="44"/>
      <c r="G18" s="56" t="str">
        <f ca="1">IF(ROWS($1:5)&gt;COUNT(Dong14),"",IF(OFFSET(TH!L$1,SMALL(Dong14,ROWS($1:5)),)="131",OFFSET(TH!K$1,SMALL(Dong14,ROWS($1:5)),),0))</f>
        <v/>
      </c>
      <c r="H18" s="56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5" t="str">
        <f ca="1">IF(ROWS($1:6)&gt;COUNT(Dong14),"",OFFSET(TH!F$1,SMALL(Dong14,ROWS($1:6)),))</f>
        <v/>
      </c>
      <c r="E19" s="44" t="str">
        <f ca="1">IF(ROWS($1:6)&gt;COUNT(Dong14),"",IF(OFFSET(TH!L$1,SMALL(Dong14,ROWS($1:6)),)="331",OFFSET(TH!M$1,SMALL(Dong14,ROWS($1:6)),),OFFSET(TH!L$1,SMALL(Dong14,ROWS($1:6)),)))</f>
        <v/>
      </c>
      <c r="F19" s="44"/>
      <c r="G19" s="56" t="str">
        <f ca="1">IF(ROWS($1:6)&gt;COUNT(Dong14),"",IF(OFFSET(TH!L$1,SMALL(Dong14,ROWS($1:6)),)="131",OFFSET(TH!K$1,SMALL(Dong14,ROWS($1:6)),),0))</f>
        <v/>
      </c>
      <c r="H19" s="56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5" t="str">
        <f ca="1">IF(ROWS($1:7)&gt;COUNT(Dong14),"",OFFSET(TH!F$1,SMALL(Dong14,ROWS($1:7)),))</f>
        <v/>
      </c>
      <c r="E20" s="44" t="str">
        <f ca="1">IF(ROWS($1:7)&gt;COUNT(Dong14),"",IF(OFFSET(TH!L$1,SMALL(Dong14,ROWS($1:7)),)="331",OFFSET(TH!M$1,SMALL(Dong14,ROWS($1:7)),),OFFSET(TH!L$1,SMALL(Dong14,ROWS($1:7)),)))</f>
        <v/>
      </c>
      <c r="F20" s="44"/>
      <c r="G20" s="56" t="str">
        <f ca="1">IF(ROWS($1:7)&gt;COUNT(Dong14),"",IF(OFFSET(TH!L$1,SMALL(Dong14,ROWS($1:7)),)="131",OFFSET(TH!K$1,SMALL(Dong14,ROWS($1:7)),),0))</f>
        <v/>
      </c>
      <c r="H20" s="56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5" t="str">
        <f ca="1">IF(ROWS($1:8)&gt;COUNT(Dong14),"",OFFSET(TH!F$1,SMALL(Dong14,ROWS($1:8)),))</f>
        <v/>
      </c>
      <c r="E21" s="44" t="str">
        <f ca="1">IF(ROWS($1:8)&gt;COUNT(Dong14),"",IF(OFFSET(TH!L$1,SMALL(Dong14,ROWS($1:8)),)="331",OFFSET(TH!M$1,SMALL(Dong14,ROWS($1:8)),),OFFSET(TH!L$1,SMALL(Dong14,ROWS($1:8)),)))</f>
        <v/>
      </c>
      <c r="F21" s="44"/>
      <c r="G21" s="56" t="str">
        <f ca="1">IF(ROWS($1:8)&gt;COUNT(Dong14),"",IF(OFFSET(TH!L$1,SMALL(Dong14,ROWS($1:8)),)="131",OFFSET(TH!K$1,SMALL(Dong14,ROWS($1:8)),),0))</f>
        <v/>
      </c>
      <c r="H21" s="56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5" t="str">
        <f ca="1">IF(ROWS($1:9)&gt;COUNT(Dong14),"",OFFSET(TH!F$1,SMALL(Dong14,ROWS($1:9)),))</f>
        <v/>
      </c>
      <c r="E22" s="44" t="str">
        <f ca="1">IF(ROWS($1:9)&gt;COUNT(Dong14),"",IF(OFFSET(TH!L$1,SMALL(Dong14,ROWS($1:9)),)="331",OFFSET(TH!M$1,SMALL(Dong14,ROWS($1:9)),),OFFSET(TH!L$1,SMALL(Dong14,ROWS($1:9)),)))</f>
        <v/>
      </c>
      <c r="F22" s="44"/>
      <c r="G22" s="56" t="str">
        <f ca="1">IF(ROWS($1:9)&gt;COUNT(Dong14),"",IF(OFFSET(TH!L$1,SMALL(Dong14,ROWS($1:9)),)="131",OFFSET(TH!K$1,SMALL(Dong14,ROWS($1:9)),),0))</f>
        <v/>
      </c>
      <c r="H22" s="56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5" t="str">
        <f ca="1">IF(ROWS($1:10)&gt;COUNT(Dong14),"",OFFSET(TH!F$1,SMALL(Dong14,ROWS($1:10)),))</f>
        <v/>
      </c>
      <c r="E23" s="44" t="str">
        <f ca="1">IF(ROWS($1:10)&gt;COUNT(Dong14),"",IF(OFFSET(TH!L$1,SMALL(Dong14,ROWS($1:10)),)="331",OFFSET(TH!M$1,SMALL(Dong14,ROWS($1:10)),),OFFSET(TH!L$1,SMALL(Dong14,ROWS($1:10)),)))</f>
        <v/>
      </c>
      <c r="F23" s="44"/>
      <c r="G23" s="56" t="str">
        <f ca="1">IF(ROWS($1:10)&gt;COUNT(Dong14),"",IF(OFFSET(TH!L$1,SMALL(Dong14,ROWS($1:10)),)="131",OFFSET(TH!K$1,SMALL(Dong14,ROWS($1:10)),),0))</f>
        <v/>
      </c>
      <c r="H23" s="56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5" t="str">
        <f ca="1">IF(ROWS($1:11)&gt;COUNT(Dong14),"",OFFSET(TH!F$1,SMALL(Dong14,ROWS($1:11)),))</f>
        <v/>
      </c>
      <c r="E24" s="44" t="str">
        <f ca="1">IF(ROWS($1:11)&gt;COUNT(Dong14),"",IF(OFFSET(TH!L$1,SMALL(Dong14,ROWS($1:11)),)="331",OFFSET(TH!M$1,SMALL(Dong14,ROWS($1:11)),),OFFSET(TH!L$1,SMALL(Dong14,ROWS($1:11)),)))</f>
        <v/>
      </c>
      <c r="F24" s="44"/>
      <c r="G24" s="56" t="str">
        <f ca="1">IF(ROWS($1:11)&gt;COUNT(Dong14),"",IF(OFFSET(TH!L$1,SMALL(Dong14,ROWS($1:11)),)="131",OFFSET(TH!K$1,SMALL(Dong14,ROWS($1:11)),),0))</f>
        <v/>
      </c>
      <c r="H24" s="56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5" t="str">
        <f ca="1">IF(ROWS($1:12)&gt;COUNT(Dong14),"",OFFSET(TH!F$1,SMALL(Dong14,ROWS($1:12)),))</f>
        <v/>
      </c>
      <c r="E25" s="44" t="str">
        <f ca="1">IF(ROWS($1:12)&gt;COUNT(Dong14),"",IF(OFFSET(TH!L$1,SMALL(Dong14,ROWS($1:12)),)="331",OFFSET(TH!M$1,SMALL(Dong14,ROWS($1:12)),),OFFSET(TH!L$1,SMALL(Dong14,ROWS($1:12)),)))</f>
        <v/>
      </c>
      <c r="F25" s="44"/>
      <c r="G25" s="56" t="str">
        <f ca="1">IF(ROWS($1:12)&gt;COUNT(Dong14),"",IF(OFFSET(TH!L$1,SMALL(Dong14,ROWS($1:12)),)="131",OFFSET(TH!K$1,SMALL(Dong14,ROWS($1:12)),),0))</f>
        <v/>
      </c>
      <c r="H25" s="56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5" t="str">
        <f ca="1">IF(ROWS($1:13)&gt;COUNT(Dong14),"",OFFSET(TH!F$1,SMALL(Dong14,ROWS($1:13)),))</f>
        <v/>
      </c>
      <c r="E26" s="44" t="str">
        <f ca="1">IF(ROWS($1:13)&gt;COUNT(Dong14),"",IF(OFFSET(TH!L$1,SMALL(Dong14,ROWS($1:13)),)="331",OFFSET(TH!M$1,SMALL(Dong14,ROWS($1:13)),),OFFSET(TH!L$1,SMALL(Dong14,ROWS($1:13)),)))</f>
        <v/>
      </c>
      <c r="F26" s="44"/>
      <c r="G26" s="56" t="str">
        <f ca="1">IF(ROWS($1:13)&gt;COUNT(Dong14),"",IF(OFFSET(TH!L$1,SMALL(Dong14,ROWS($1:13)),)="131",OFFSET(TH!K$1,SMALL(Dong14,ROWS($1:13)),),0))</f>
        <v/>
      </c>
      <c r="H26" s="56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5" t="str">
        <f ca="1">IF(ROWS($1:14)&gt;COUNT(Dong14),"",OFFSET(TH!F$1,SMALL(Dong14,ROWS($1:14)),))</f>
        <v/>
      </c>
      <c r="E27" s="44" t="str">
        <f ca="1">IF(ROWS($1:14)&gt;COUNT(Dong14),"",IF(OFFSET(TH!L$1,SMALL(Dong14,ROWS($1:14)),)="331",OFFSET(TH!M$1,SMALL(Dong14,ROWS($1:14)),),OFFSET(TH!L$1,SMALL(Dong14,ROWS($1:14)),)))</f>
        <v/>
      </c>
      <c r="F27" s="44"/>
      <c r="G27" s="56" t="str">
        <f ca="1">IF(ROWS($1:14)&gt;COUNT(Dong14),"",IF(OFFSET(TH!L$1,SMALL(Dong14,ROWS($1:14)),)="131",OFFSET(TH!K$1,SMALL(Dong14,ROWS($1:14)),),0))</f>
        <v/>
      </c>
      <c r="H27" s="56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5" t="str">
        <f ca="1">IF(ROWS($1:15)&gt;COUNT(Dong14),"",OFFSET(TH!F$1,SMALL(Dong14,ROWS($1:15)),))</f>
        <v/>
      </c>
      <c r="E28" s="44" t="str">
        <f ca="1">IF(ROWS($1:15)&gt;COUNT(Dong14),"",IF(OFFSET(TH!L$1,SMALL(Dong14,ROWS($1:15)),)="331",OFFSET(TH!M$1,SMALL(Dong14,ROWS($1:15)),),OFFSET(TH!L$1,SMALL(Dong14,ROWS($1:15)),)))</f>
        <v/>
      </c>
      <c r="F28" s="44"/>
      <c r="G28" s="56" t="str">
        <f ca="1">IF(ROWS($1:15)&gt;COUNT(Dong14),"",IF(OFFSET(TH!L$1,SMALL(Dong14,ROWS($1:15)),)="131",OFFSET(TH!K$1,SMALL(Dong14,ROWS($1:15)),),0))</f>
        <v/>
      </c>
      <c r="H28" s="56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5" t="str">
        <f ca="1">IF(ROWS($1:16)&gt;COUNT(Dong14),"",OFFSET(TH!F$1,SMALL(Dong14,ROWS($1:16)),))</f>
        <v/>
      </c>
      <c r="E29" s="44" t="str">
        <f ca="1">IF(ROWS($1:16)&gt;COUNT(Dong14),"",IF(OFFSET(TH!L$1,SMALL(Dong14,ROWS($1:16)),)="331",OFFSET(TH!M$1,SMALL(Dong14,ROWS($1:16)),),OFFSET(TH!L$1,SMALL(Dong14,ROWS($1:16)),)))</f>
        <v/>
      </c>
      <c r="F29" s="44"/>
      <c r="G29" s="56" t="str">
        <f ca="1">IF(ROWS($1:16)&gt;COUNT(Dong14),"",IF(OFFSET(TH!L$1,SMALL(Dong14,ROWS($1:16)),)="131",OFFSET(TH!K$1,SMALL(Dong14,ROWS($1:16)),),0))</f>
        <v/>
      </c>
      <c r="H29" s="56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5" t="str">
        <f ca="1">IF(ROWS($1:17)&gt;COUNT(Dong14),"",OFFSET(TH!F$1,SMALL(Dong14,ROWS($1:17)),))</f>
        <v/>
      </c>
      <c r="E30" s="44" t="str">
        <f ca="1">IF(ROWS($1:17)&gt;COUNT(Dong14),"",IF(OFFSET(TH!L$1,SMALL(Dong14,ROWS($1:17)),)="331",OFFSET(TH!M$1,SMALL(Dong14,ROWS($1:17)),),OFFSET(TH!L$1,SMALL(Dong14,ROWS($1:17)),)))</f>
        <v/>
      </c>
      <c r="F30" s="44"/>
      <c r="G30" s="56" t="str">
        <f ca="1">IF(ROWS($1:17)&gt;COUNT(Dong14),"",IF(OFFSET(TH!L$1,SMALL(Dong14,ROWS($1:17)),)="131",OFFSET(TH!K$1,SMALL(Dong14,ROWS($1:17)),),0))</f>
        <v/>
      </c>
      <c r="H30" s="56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9"/>
      <c r="B31" s="209"/>
      <c r="C31" s="209"/>
      <c r="D31" s="210"/>
      <c r="E31" s="211"/>
      <c r="F31" s="211"/>
      <c r="G31" s="212"/>
      <c r="H31" s="212"/>
      <c r="I31" s="213"/>
      <c r="J31" s="213"/>
    </row>
    <row r="32" spans="1:10" s="18" customFormat="1" ht="18" customHeight="1">
      <c r="A32" s="24"/>
      <c r="B32" s="600"/>
      <c r="C32" s="26"/>
      <c r="D32" s="23" t="s">
        <v>33</v>
      </c>
      <c r="E32" s="600" t="s">
        <v>19</v>
      </c>
      <c r="F32" s="60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0"/>
      <c r="C33" s="600"/>
      <c r="D33" s="23" t="s">
        <v>10</v>
      </c>
      <c r="E33" s="600" t="s">
        <v>19</v>
      </c>
      <c r="F33" s="600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94"/>
      <c r="C34" s="594"/>
      <c r="E34" s="594"/>
    </row>
    <row r="35" spans="1:11" s="18" customFormat="1" ht="14.25" customHeight="1">
      <c r="A35" s="28" t="s">
        <v>152</v>
      </c>
      <c r="B35" s="594"/>
      <c r="C35" s="594"/>
      <c r="E35" s="594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94"/>
      <c r="C36" s="594"/>
      <c r="E36" s="594"/>
      <c r="K36" s="28" t="s">
        <v>34</v>
      </c>
    </row>
    <row r="37" spans="1:11" s="18" customFormat="1" ht="14.25" customHeight="1">
      <c r="B37" s="594"/>
      <c r="C37" s="594"/>
      <c r="E37" s="901" t="e">
        <f ca="1">"Ngày 31 tháng  12  năm  "&amp;YEAR($A$14)</f>
        <v>#VALUE!</v>
      </c>
      <c r="F37" s="901"/>
      <c r="G37" s="901"/>
      <c r="H37" s="901"/>
      <c r="I37" s="901"/>
      <c r="J37" s="901"/>
    </row>
    <row r="38" spans="1:11" s="18" customFormat="1" ht="14.25" customHeight="1">
      <c r="C38" s="594" t="s">
        <v>11</v>
      </c>
      <c r="E38" s="901" t="s">
        <v>12</v>
      </c>
      <c r="F38" s="901"/>
      <c r="G38" s="901"/>
      <c r="H38" s="901"/>
      <c r="I38" s="901"/>
      <c r="J38" s="901"/>
    </row>
    <row r="39" spans="1:11" s="18" customFormat="1" ht="14.25" customHeight="1">
      <c r="C39" s="594" t="s">
        <v>13</v>
      </c>
      <c r="E39" s="901" t="s">
        <v>13</v>
      </c>
      <c r="F39" s="901"/>
      <c r="G39" s="901"/>
      <c r="H39" s="901"/>
      <c r="I39" s="901"/>
      <c r="J39" s="901"/>
    </row>
    <row r="40" spans="1:11" s="29" customFormat="1"/>
    <row r="46" spans="1:11" ht="15">
      <c r="C46" s="595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topLeftCell="A3" workbookViewId="0">
      <pane ySplit="3" topLeftCell="A6" activePane="bottomLeft" state="frozen"/>
      <selection activeCell="A3" sqref="A3"/>
      <selection pane="bottomLeft" activeCell="A10" sqref="A10:XFD10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6" t="str">
        <f>TH!$A$1</f>
        <v>Đơn vị: CÔNG TY TNHH MỘT THÀNH VIÊN KHỞI NGUYÊN AN</v>
      </c>
    </row>
    <row r="2" spans="1:9">
      <c r="A2" s="837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7" t="s">
        <v>102</v>
      </c>
      <c r="B3" s="937"/>
      <c r="C3" s="937"/>
      <c r="D3" s="937"/>
      <c r="E3" s="937"/>
      <c r="F3" s="937"/>
      <c r="G3" s="937"/>
      <c r="H3" s="937"/>
    </row>
    <row r="4" spans="1:9" s="10" customFormat="1" ht="14.25" customHeight="1">
      <c r="A4" s="938" t="s">
        <v>35</v>
      </c>
      <c r="B4" s="940" t="s">
        <v>36</v>
      </c>
      <c r="C4" s="942" t="s">
        <v>37</v>
      </c>
      <c r="D4" s="943"/>
      <c r="E4" s="942" t="s">
        <v>38</v>
      </c>
      <c r="F4" s="943"/>
      <c r="G4" s="942" t="s">
        <v>41</v>
      </c>
      <c r="H4" s="943"/>
    </row>
    <row r="5" spans="1:9" s="10" customFormat="1" ht="14.25" customHeight="1">
      <c r="A5" s="939"/>
      <c r="B5" s="941"/>
      <c r="C5" s="193" t="s">
        <v>42</v>
      </c>
      <c r="D5" s="193" t="s">
        <v>43</v>
      </c>
      <c r="E5" s="193" t="s">
        <v>42</v>
      </c>
      <c r="F5" s="193" t="s">
        <v>43</v>
      </c>
      <c r="G5" s="193" t="s">
        <v>42</v>
      </c>
      <c r="H5" s="193" t="s">
        <v>43</v>
      </c>
    </row>
    <row r="6" spans="1:9" s="10" customFormat="1" ht="16.5" customHeight="1">
      <c r="A6" s="6">
        <f>IF(B6&lt;&gt;"",ROW()-5,"")</f>
        <v>1</v>
      </c>
      <c r="B6" s="7" t="s">
        <v>632</v>
      </c>
      <c r="C6" s="8"/>
      <c r="D6" s="8"/>
      <c r="E6" s="8">
        <f t="array" ref="E6">SUM(IF("331"&amp;B6=KHN&amp;KH,TH))</f>
        <v>198481472</v>
      </c>
      <c r="F6" s="8">
        <f t="array" ref="F6">SUM(IF("331"&amp;B6=KHC&amp;KH,TH))</f>
        <v>198481472</v>
      </c>
      <c r="G6" s="53">
        <f t="shared" ref="G6:G7" si="0">ROUND(MAX(C6+E6-D6-F6,0),2)</f>
        <v>0</v>
      </c>
      <c r="H6" s="53">
        <f t="shared" ref="H6:H7" si="1">ROUND(MAX(D6+F6-C6-E6,0),2)</f>
        <v>0</v>
      </c>
      <c r="I6" s="10" t="str">
        <f>IF(ISNA(VLOOKUP(B6,'331'!$B$4:$B$15,1,0)),"","x")</f>
        <v/>
      </c>
    </row>
    <row r="7" spans="1:9" s="10" customFormat="1" ht="16.5" customHeight="1">
      <c r="A7" s="6">
        <f t="shared" ref="A7" si="2">IF(B7&lt;&gt;"",ROW()-5,"")</f>
        <v>2</v>
      </c>
      <c r="B7" s="7" t="s">
        <v>655</v>
      </c>
      <c r="C7" s="8"/>
      <c r="D7" s="8"/>
      <c r="E7" s="8">
        <f t="array" ref="E7">SUM(IF("331"&amp;B7=KHN&amp;KH,TH))</f>
        <v>13550900</v>
      </c>
      <c r="F7" s="8">
        <f t="array" ref="F7">SUM(IF("331"&amp;B7=KHC&amp;KH,TH))</f>
        <v>13550900</v>
      </c>
      <c r="G7" s="53">
        <f t="shared" si="0"/>
        <v>0</v>
      </c>
      <c r="H7" s="53">
        <f t="shared" si="1"/>
        <v>0</v>
      </c>
      <c r="I7" s="10" t="str">
        <f>IF(ISNA(VLOOKUP(B7,'331'!$B$4:$B$15,1,0)),"","x")</f>
        <v/>
      </c>
    </row>
    <row r="8" spans="1:9" s="10" customFormat="1" ht="16.5" customHeight="1">
      <c r="A8" s="6" t="str">
        <f>IF(B8&lt;&gt;"",ROW()-3,"")</f>
        <v/>
      </c>
      <c r="B8" s="43"/>
      <c r="C8" s="8"/>
      <c r="D8" s="8"/>
      <c r="E8" s="473"/>
      <c r="F8" s="473"/>
      <c r="G8" s="474"/>
      <c r="H8" s="474"/>
      <c r="I8" s="10" t="str">
        <f>IF(ISNA(VLOOKUP(B8,'331'!$B$4:$B$15,1,0)),"","x")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212032372</v>
      </c>
      <c r="F9" s="13">
        <f t="shared" si="3"/>
        <v>212032372</v>
      </c>
      <c r="G9" s="13">
        <f t="shared" si="3"/>
        <v>0</v>
      </c>
      <c r="H9" s="13">
        <f t="shared" si="3"/>
        <v>0</v>
      </c>
    </row>
    <row r="10" spans="1:9">
      <c r="E10" s="15">
        <f>CDPS!E35</f>
        <v>212032372</v>
      </c>
      <c r="F10" s="15">
        <f>CDPS!F35</f>
        <v>212032372</v>
      </c>
    </row>
    <row r="11" spans="1:9">
      <c r="E11" s="15">
        <f>E9-E10</f>
        <v>0</v>
      </c>
      <c r="F11" s="15">
        <f>F9-F10</f>
        <v>0</v>
      </c>
    </row>
    <row r="13" spans="1:9">
      <c r="E13" s="15"/>
      <c r="F13" s="936" t="s">
        <v>586</v>
      </c>
      <c r="G13" s="936"/>
      <c r="H13" s="936"/>
    </row>
    <row r="14" spans="1:9">
      <c r="F14" s="936" t="s">
        <v>109</v>
      </c>
      <c r="G14" s="936"/>
      <c r="H14" s="936"/>
    </row>
    <row r="15" spans="1:9">
      <c r="E15" s="179"/>
      <c r="F15" s="936" t="s">
        <v>136</v>
      </c>
      <c r="G15" s="936"/>
      <c r="H15" s="936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4" t="str">
        <f>TH!A1</f>
        <v>Đơn vị: CÔNG TY TNHH MỘT THÀNH VIÊN KHỞI NGUYÊN AN</v>
      </c>
      <c r="B1" s="16"/>
      <c r="C1" s="16"/>
      <c r="G1" s="2"/>
      <c r="H1" s="946" t="s">
        <v>46</v>
      </c>
      <c r="I1" s="946"/>
      <c r="J1" s="946"/>
    </row>
    <row r="2" spans="1:10" s="3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947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947"/>
      <c r="J2" s="947"/>
    </row>
    <row r="3" spans="1:10" s="3" customFormat="1" ht="14.25" customHeight="1">
      <c r="A3" s="4"/>
      <c r="B3" s="16"/>
      <c r="C3" s="16"/>
      <c r="G3" s="17"/>
      <c r="H3" s="947"/>
      <c r="I3" s="947"/>
      <c r="J3" s="947"/>
    </row>
    <row r="4" spans="1:10" s="5" customFormat="1" ht="28.5" customHeight="1">
      <c r="A4" s="948" t="s">
        <v>26</v>
      </c>
      <c r="B4" s="948"/>
      <c r="C4" s="948"/>
      <c r="D4" s="948"/>
      <c r="E4" s="948"/>
      <c r="F4" s="948"/>
      <c r="G4" s="948"/>
      <c r="H4" s="948"/>
      <c r="I4" s="948"/>
      <c r="J4" s="94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49" t="s">
        <v>632</v>
      </c>
      <c r="F7" s="949"/>
      <c r="G7" s="949"/>
      <c r="H7" s="94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50"/>
      <c r="D9" s="950"/>
      <c r="E9" s="950"/>
      <c r="F9" s="950"/>
      <c r="G9" s="950"/>
      <c r="H9" s="950"/>
      <c r="I9" s="950"/>
      <c r="J9" s="950"/>
    </row>
    <row r="10" spans="1:10" s="18" customFormat="1" ht="14.25" customHeight="1">
      <c r="A10" s="913" t="s">
        <v>20</v>
      </c>
      <c r="B10" s="951" t="s">
        <v>1</v>
      </c>
      <c r="C10" s="951"/>
      <c r="D10" s="913" t="s">
        <v>0</v>
      </c>
      <c r="E10" s="913" t="s">
        <v>14</v>
      </c>
      <c r="F10" s="913" t="s">
        <v>30</v>
      </c>
      <c r="G10" s="944" t="s">
        <v>21</v>
      </c>
      <c r="H10" s="945"/>
      <c r="I10" s="944" t="s">
        <v>31</v>
      </c>
      <c r="J10" s="945"/>
    </row>
    <row r="11" spans="1:10" s="18" customFormat="1" ht="24.75" customHeight="1">
      <c r="A11" s="913"/>
      <c r="B11" s="30" t="s">
        <v>15</v>
      </c>
      <c r="C11" s="30" t="s">
        <v>32</v>
      </c>
      <c r="D11" s="913"/>
      <c r="E11" s="913"/>
      <c r="F11" s="91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5">
        <f>VLOOKUP($E$7,'331'!$B$6:$H$8,2,0)</f>
        <v>0</v>
      </c>
      <c r="J13" s="45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 t="str">
        <f ca="1">IF(ROWS($1:1)&gt;COUNT(Dong),"",OFFSET(TH!D$1,SMALL(Dong,ROWS($1:1)),))</f>
        <v>N01</v>
      </c>
      <c r="C14" s="9">
        <f ca="1">IF(ROWS($1:1)&gt;COUNT(Dong),"",OFFSET(TH!E$1,SMALL(Dong,ROWS($1:1)),))</f>
        <v>41153</v>
      </c>
      <c r="D14" s="215" t="str">
        <f ca="1">IF(ROWS($1:1)&gt;COUNT(Dong),"",OFFSET(TH!F$1,SMALL(Dong,ROWS($1:1)),))</f>
        <v>Giấy tấm 1N +2X (110x162)</v>
      </c>
      <c r="E14" s="44" t="str">
        <f ca="1">IF(ROWS($1:1)&gt;COUNT(Dong),"",IF(OFFSET(TH!L$1,SMALL(Dong,ROWS($1:1)),)="331",OFFSET(TH!M$1,SMALL(Dong,ROWS($1:1)),),OFFSET(TH!L$1,SMALL(Dong,ROWS($1:1)),)))</f>
        <v>156</v>
      </c>
      <c r="F14" s="44"/>
      <c r="G14" s="56">
        <f ca="1">IF(ROWS($1:1)&gt;COUNT(Dong),"",IF(OFFSET(TH!L$1,SMALL(Dong,ROWS($1:1)),)="331",OFFSET(TH!K$1,SMALL(Dong,ROWS($1:1)),),0))</f>
        <v>0</v>
      </c>
      <c r="H14" s="56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 t="str">
        <f ca="1">IF(ROWS($1:2)&gt;COUNT(Dong),"",OFFSET(TH!D$1,SMALL(Dong,ROWS($1:2)),))</f>
        <v>N01</v>
      </c>
      <c r="C15" s="9">
        <f ca="1">IF(ROWS($1:2)&gt;COUNT(Dong),"",OFFSET(TH!E$1,SMALL(Dong,ROWS($1:2)),))</f>
        <v>41153</v>
      </c>
      <c r="D15" s="215" t="str">
        <f ca="1">IF(ROWS($1:2)&gt;COUNT(Dong),"",OFFSET(TH!F$1,SMALL(Dong,ROWS($1:2)),))</f>
        <v>Giấy tấm 1N +2X (110x159)</v>
      </c>
      <c r="E15" s="44" t="str">
        <f ca="1">IF(ROWS($1:2)&gt;COUNT(Dong),"",IF(OFFSET(TH!L$1,SMALL(Dong,ROWS($1:2)),)="331",OFFSET(TH!M$1,SMALL(Dong,ROWS($1:2)),),OFFSET(TH!L$1,SMALL(Dong,ROWS($1:2)),)))</f>
        <v>156</v>
      </c>
      <c r="F15" s="44"/>
      <c r="G15" s="56">
        <f ca="1">IF(ROWS($1:2)&gt;COUNT(Dong),"",IF(OFFSET(TH!L$1,SMALL(Dong,ROWS($1:2)),)="331",OFFSET(TH!K$1,SMALL(Dong,ROWS($1:2)),),0))</f>
        <v>0</v>
      </c>
      <c r="H15" s="56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 t="str">
        <f ca="1">IF(ROWS($1:3)&gt;COUNT(Dong),"",OFFSET(TH!D$1,SMALL(Dong,ROWS($1:3)),))</f>
        <v>N01</v>
      </c>
      <c r="C16" s="9">
        <f ca="1">IF(ROWS($1:3)&gt;COUNT(Dong),"",OFFSET(TH!E$1,SMALL(Dong,ROWS($1:3)),))</f>
        <v>41153</v>
      </c>
      <c r="D16" s="215" t="str">
        <f ca="1">IF(ROWS($1:3)&gt;COUNT(Dong),"",OFFSET(TH!F$1,SMALL(Dong,ROWS($1:3)),))</f>
        <v xml:space="preserve">VAT Giấy tấm </v>
      </c>
      <c r="E16" s="44" t="str">
        <f ca="1">IF(ROWS($1:3)&gt;COUNT(Dong),"",IF(OFFSET(TH!L$1,SMALL(Dong,ROWS($1:3)),)="331",OFFSET(TH!M$1,SMALL(Dong,ROWS($1:3)),),OFFSET(TH!L$1,SMALL(Dong,ROWS($1:3)),)))</f>
        <v>1331</v>
      </c>
      <c r="F16" s="44"/>
      <c r="G16" s="56">
        <f ca="1">IF(ROWS($1:3)&gt;COUNT(Dong),"",IF(OFFSET(TH!L$1,SMALL(Dong,ROWS($1:3)),)="331",OFFSET(TH!K$1,SMALL(Dong,ROWS($1:3)),),0))</f>
        <v>0</v>
      </c>
      <c r="H16" s="56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41153</v>
      </c>
      <c r="B17" s="9" t="str">
        <f ca="1">IF(ROWS($1:4)&gt;COUNT(Dong),"",OFFSET(TH!D$1,SMALL(Dong,ROWS($1:4)),))</f>
        <v>C04</v>
      </c>
      <c r="C17" s="9">
        <f ca="1">IF(ROWS($1:4)&gt;COUNT(Dong),"",OFFSET(TH!E$1,SMALL(Dong,ROWS($1:4)),))</f>
        <v>41153</v>
      </c>
      <c r="D17" s="215" t="str">
        <f ca="1">IF(ROWS($1:4)&gt;COUNT(Dong),"",OFFSET(TH!F$1,SMALL(Dong,ROWS($1:4)),))</f>
        <v>Thanh toán tiền hàng</v>
      </c>
      <c r="E17" s="44" t="str">
        <f ca="1">IF(ROWS($1:4)&gt;COUNT(Dong),"",IF(OFFSET(TH!L$1,SMALL(Dong,ROWS($1:4)),)="331",OFFSET(TH!M$1,SMALL(Dong,ROWS($1:4)),),OFFSET(TH!L$1,SMALL(Dong,ROWS($1:4)),)))</f>
        <v>1111</v>
      </c>
      <c r="F17" s="44"/>
      <c r="G17" s="56">
        <f ca="1">IF(ROWS($1:4)&gt;COUNT(Dong),"",IF(OFFSET(TH!L$1,SMALL(Dong,ROWS($1:4)),)="331",OFFSET(TH!K$1,SMALL(Dong,ROWS($1:4)),),0))</f>
        <v>14448720</v>
      </c>
      <c r="H17" s="56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41155</v>
      </c>
      <c r="B18" s="9" t="str">
        <f ca="1">IF(ROWS($1:5)&gt;COUNT(Dong),"",OFFSET(TH!D$1,SMALL(Dong,ROWS($1:5)),))</f>
        <v>N02</v>
      </c>
      <c r="C18" s="9">
        <f ca="1">IF(ROWS($1:5)&gt;COUNT(Dong),"",OFFSET(TH!E$1,SMALL(Dong,ROWS($1:5)),))</f>
        <v>41155</v>
      </c>
      <c r="D18" s="215" t="str">
        <f ca="1">IF(ROWS($1:5)&gt;COUNT(Dong),"",OFFSET(TH!F$1,SMALL(Dong,ROWS($1:5)),))</f>
        <v>Giấy tấm 1N +2X (105x159)</v>
      </c>
      <c r="E18" s="44" t="str">
        <f ca="1">IF(ROWS($1:5)&gt;COUNT(Dong),"",IF(OFFSET(TH!L$1,SMALL(Dong,ROWS($1:5)),)="331",OFFSET(TH!M$1,SMALL(Dong,ROWS($1:5)),),OFFSET(TH!L$1,SMALL(Dong,ROWS($1:5)),)))</f>
        <v>156</v>
      </c>
      <c r="F18" s="44"/>
      <c r="G18" s="56">
        <f ca="1">IF(ROWS($1:5)&gt;COUNT(Dong),"",IF(OFFSET(TH!L$1,SMALL(Dong,ROWS($1:5)),)="331",OFFSET(TH!K$1,SMALL(Dong,ROWS($1:5)),),0))</f>
        <v>0</v>
      </c>
      <c r="H18" s="56">
        <f ca="1">IF(ROWS($1:5)&gt;COUNT(Dong),"",IF(OFFSET(TH!M$1,SMALL(Dong,ROWS($1:5)),)="331",OFFSET(TH!K$1,SMALL(Dong,ROWS($1:5)),),0))</f>
        <v>5143000</v>
      </c>
      <c r="I18" s="25">
        <f t="shared" ca="1" si="0"/>
        <v>0</v>
      </c>
      <c r="J18" s="25">
        <f t="shared" ca="1" si="1"/>
        <v>5143000</v>
      </c>
    </row>
    <row r="19" spans="1:10" s="18" customFormat="1" ht="18" customHeight="1">
      <c r="A19" s="9">
        <f ca="1">IF(ROWS($1:6)&gt;COUNT(Dong),"",OFFSET(TH!C$1,SMALL(Dong,ROWS($1:6)),))</f>
        <v>41155</v>
      </c>
      <c r="B19" s="9" t="str">
        <f ca="1">IF(ROWS($1:6)&gt;COUNT(Dong),"",OFFSET(TH!D$1,SMALL(Dong,ROWS($1:6)),))</f>
        <v>N02</v>
      </c>
      <c r="C19" s="9">
        <f ca="1">IF(ROWS($1:6)&gt;COUNT(Dong),"",OFFSET(TH!E$1,SMALL(Dong,ROWS($1:6)),))</f>
        <v>41155</v>
      </c>
      <c r="D19" s="215" t="str">
        <f ca="1">IF(ROWS($1:6)&gt;COUNT(Dong),"",OFFSET(TH!F$1,SMALL(Dong,ROWS($1:6)),))</f>
        <v>Giấy tấm 1N +2X (115x163)</v>
      </c>
      <c r="E19" s="44" t="str">
        <f ca="1">IF(ROWS($1:6)&gt;COUNT(Dong),"",IF(OFFSET(TH!L$1,SMALL(Dong,ROWS($1:6)),)="331",OFFSET(TH!M$1,SMALL(Dong,ROWS($1:6)),),OFFSET(TH!L$1,SMALL(Dong,ROWS($1:6)),)))</f>
        <v>156</v>
      </c>
      <c r="F19" s="44"/>
      <c r="G19" s="56">
        <f ca="1">IF(ROWS($1:6)&gt;COUNT(Dong),"",IF(OFFSET(TH!L$1,SMALL(Dong,ROWS($1:6)),)="331",OFFSET(TH!K$1,SMALL(Dong,ROWS($1:6)),),0))</f>
        <v>0</v>
      </c>
      <c r="H19" s="56">
        <f ca="1">IF(ROWS($1:6)&gt;COUNT(Dong),"",IF(OFFSET(TH!M$1,SMALL(Dong,ROWS($1:6)),)="331",OFFSET(TH!K$1,SMALL(Dong,ROWS($1:6)),),0))</f>
        <v>5811000</v>
      </c>
      <c r="I19" s="25">
        <f t="shared" ca="1" si="0"/>
        <v>0</v>
      </c>
      <c r="J19" s="25">
        <f t="shared" ca="1" si="1"/>
        <v>10954000</v>
      </c>
    </row>
    <row r="20" spans="1:10" s="18" customFormat="1" ht="18" customHeight="1">
      <c r="A20" s="9">
        <f ca="1">IF(ROWS($1:7)&gt;COUNT(Dong),"",OFFSET(TH!C$1,SMALL(Dong,ROWS($1:7)),))</f>
        <v>41155</v>
      </c>
      <c r="B20" s="9" t="str">
        <f ca="1">IF(ROWS($1:7)&gt;COUNT(Dong),"",OFFSET(TH!D$1,SMALL(Dong,ROWS($1:7)),))</f>
        <v>N02</v>
      </c>
      <c r="C20" s="9">
        <f ca="1">IF(ROWS($1:7)&gt;COUNT(Dong),"",OFFSET(TH!E$1,SMALL(Dong,ROWS($1:7)),))</f>
        <v>41155</v>
      </c>
      <c r="D20" s="215" t="str">
        <f ca="1">IF(ROWS($1:7)&gt;COUNT(Dong),"",OFFSET(TH!F$1,SMALL(Dong,ROWS($1:7)),))</f>
        <v xml:space="preserve">VAT Giấy tấm </v>
      </c>
      <c r="E20" s="44" t="str">
        <f ca="1">IF(ROWS($1:7)&gt;COUNT(Dong),"",IF(OFFSET(TH!L$1,SMALL(Dong,ROWS($1:7)),)="331",OFFSET(TH!M$1,SMALL(Dong,ROWS($1:7)),),OFFSET(TH!L$1,SMALL(Dong,ROWS($1:7)),)))</f>
        <v>1331</v>
      </c>
      <c r="F20" s="44"/>
      <c r="G20" s="56">
        <f ca="1">IF(ROWS($1:7)&gt;COUNT(Dong),"",IF(OFFSET(TH!L$1,SMALL(Dong,ROWS($1:7)),)="331",OFFSET(TH!K$1,SMALL(Dong,ROWS($1:7)),),0))</f>
        <v>0</v>
      </c>
      <c r="H20" s="56">
        <f ca="1">IF(ROWS($1:7)&gt;COUNT(Dong),"",IF(OFFSET(TH!M$1,SMALL(Dong,ROWS($1:7)),)="331",OFFSET(TH!K$1,SMALL(Dong,ROWS($1:7)),),0))</f>
        <v>1095400</v>
      </c>
      <c r="I20" s="25">
        <f t="shared" ca="1" si="0"/>
        <v>0</v>
      </c>
      <c r="J20" s="25">
        <f t="shared" ca="1" si="1"/>
        <v>12049400</v>
      </c>
    </row>
    <row r="21" spans="1:10" s="18" customFormat="1" ht="18" customHeight="1">
      <c r="A21" s="9">
        <f ca="1">IF(ROWS($1:8)&gt;COUNT(Dong),"",OFFSET(TH!C$1,SMALL(Dong,ROWS($1:8)),))</f>
        <v>41155</v>
      </c>
      <c r="B21" s="9" t="str">
        <f ca="1">IF(ROWS($1:8)&gt;COUNT(Dong),"",OFFSET(TH!D$1,SMALL(Dong,ROWS($1:8)),))</f>
        <v>C05</v>
      </c>
      <c r="C21" s="9">
        <f ca="1">IF(ROWS($1:8)&gt;COUNT(Dong),"",OFFSET(TH!E$1,SMALL(Dong,ROWS($1:8)),))</f>
        <v>41155</v>
      </c>
      <c r="D21" s="215" t="str">
        <f ca="1">IF(ROWS($1:8)&gt;COUNT(Dong),"",OFFSET(TH!F$1,SMALL(Dong,ROWS($1:8)),))</f>
        <v>Thanh toán tiền hàng</v>
      </c>
      <c r="E21" s="44" t="str">
        <f ca="1">IF(ROWS($1:8)&gt;COUNT(Dong),"",IF(OFFSET(TH!L$1,SMALL(Dong,ROWS($1:8)),)="331",OFFSET(TH!M$1,SMALL(Dong,ROWS($1:8)),),OFFSET(TH!L$1,SMALL(Dong,ROWS($1:8)),)))</f>
        <v>1111</v>
      </c>
      <c r="F21" s="44"/>
      <c r="G21" s="56">
        <f ca="1">IF(ROWS($1:8)&gt;COUNT(Dong),"",IF(OFFSET(TH!L$1,SMALL(Dong,ROWS($1:8)),)="331",OFFSET(TH!K$1,SMALL(Dong,ROWS($1:8)),),0))</f>
        <v>12049400</v>
      </c>
      <c r="H21" s="56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41156</v>
      </c>
      <c r="B22" s="9" t="str">
        <f ca="1">IF(ROWS($1:9)&gt;COUNT(Dong),"",OFFSET(TH!D$1,SMALL(Dong,ROWS($1:9)),))</f>
        <v>N03</v>
      </c>
      <c r="C22" s="9">
        <f ca="1">IF(ROWS($1:9)&gt;COUNT(Dong),"",OFFSET(TH!E$1,SMALL(Dong,ROWS($1:9)),))</f>
        <v>41156</v>
      </c>
      <c r="D22" s="215" t="str">
        <f ca="1">IF(ROWS($1:9)&gt;COUNT(Dong),"",OFFSET(TH!F$1,SMALL(Dong,ROWS($1:9)),))</f>
        <v>Giấy tấm 1N +2X (110x151)</v>
      </c>
      <c r="E22" s="44" t="str">
        <f ca="1">IF(ROWS($1:9)&gt;COUNT(Dong),"",IF(OFFSET(TH!L$1,SMALL(Dong,ROWS($1:9)),)="331",OFFSET(TH!M$1,SMALL(Dong,ROWS($1:9)),),OFFSET(TH!L$1,SMALL(Dong,ROWS($1:9)),)))</f>
        <v>156</v>
      </c>
      <c r="F22" s="44"/>
      <c r="G22" s="56">
        <f ca="1">IF(ROWS($1:9)&gt;COUNT(Dong),"",IF(OFFSET(TH!L$1,SMALL(Dong,ROWS($1:9)),)="331",OFFSET(TH!K$1,SMALL(Dong,ROWS($1:9)),),0))</f>
        <v>0</v>
      </c>
      <c r="H22" s="56">
        <f ca="1">IF(ROWS($1:9)&gt;COUNT(Dong),"",IF(OFFSET(TH!M$1,SMALL(Dong,ROWS($1:9)),)="331",OFFSET(TH!K$1,SMALL(Dong,ROWS($1:9)),),0))</f>
        <v>5663900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5663900</v>
      </c>
    </row>
    <row r="23" spans="1:10" s="18" customFormat="1" ht="18" customHeight="1">
      <c r="A23" s="9">
        <f ca="1">IF(ROWS($1:10)&gt;COUNT(Dong),"",OFFSET(TH!C$1,SMALL(Dong,ROWS($1:10)),))</f>
        <v>41156</v>
      </c>
      <c r="B23" s="9" t="str">
        <f ca="1">IF(ROWS($1:10)&gt;COUNT(Dong),"",OFFSET(TH!D$1,SMALL(Dong,ROWS($1:10)),))</f>
        <v>N03</v>
      </c>
      <c r="C23" s="9">
        <f ca="1">IF(ROWS($1:10)&gt;COUNT(Dong),"",OFFSET(TH!E$1,SMALL(Dong,ROWS($1:10)),))</f>
        <v>41156</v>
      </c>
      <c r="D23" s="215" t="str">
        <f ca="1">IF(ROWS($1:10)&gt;COUNT(Dong),"",OFFSET(TH!F$1,SMALL(Dong,ROWS($1:10)),))</f>
        <v>Giấy tấm 1N +2X (145x144)</v>
      </c>
      <c r="E23" s="44" t="str">
        <f ca="1">IF(ROWS($1:10)&gt;COUNT(Dong),"",IF(OFFSET(TH!L$1,SMALL(Dong,ROWS($1:10)),)="331",OFFSET(TH!M$1,SMALL(Dong,ROWS($1:10)),),OFFSET(TH!L$1,SMALL(Dong,ROWS($1:10)),)))</f>
        <v>156</v>
      </c>
      <c r="F23" s="44"/>
      <c r="G23" s="56">
        <f ca="1">IF(ROWS($1:10)&gt;COUNT(Dong),"",IF(OFFSET(TH!L$1,SMALL(Dong,ROWS($1:10)),)="331",OFFSET(TH!K$1,SMALL(Dong,ROWS($1:10)),),0))</f>
        <v>0</v>
      </c>
      <c r="H23" s="56">
        <f ca="1">IF(ROWS($1:10)&gt;COUNT(Dong),"",IF(OFFSET(TH!M$1,SMALL(Dong,ROWS($1:10)),)="331",OFFSET(TH!K$1,SMALL(Dong,ROWS($1:10)),),0))</f>
        <v>8544360</v>
      </c>
      <c r="I23" s="25">
        <f t="shared" ca="1" si="4"/>
        <v>0</v>
      </c>
      <c r="J23" s="25">
        <f t="shared" ca="1" si="5"/>
        <v>14208260</v>
      </c>
    </row>
    <row r="24" spans="1:10" s="18" customFormat="1" ht="18" customHeight="1">
      <c r="A24" s="9">
        <f ca="1">IF(ROWS($1:11)&gt;COUNT(Dong),"",OFFSET(TH!C$1,SMALL(Dong,ROWS($1:11)),))</f>
        <v>41156</v>
      </c>
      <c r="B24" s="9" t="str">
        <f ca="1">IF(ROWS($1:11)&gt;COUNT(Dong),"",OFFSET(TH!D$1,SMALL(Dong,ROWS($1:11)),))</f>
        <v>N03</v>
      </c>
      <c r="C24" s="9">
        <f ca="1">IF(ROWS($1:11)&gt;COUNT(Dong),"",OFFSET(TH!E$1,SMALL(Dong,ROWS($1:11)),))</f>
        <v>41156</v>
      </c>
      <c r="D24" s="215" t="str">
        <f ca="1">IF(ROWS($1:11)&gt;COUNT(Dong),"",OFFSET(TH!F$1,SMALL(Dong,ROWS($1:11)),))</f>
        <v xml:space="preserve">VAT Giấy tấm </v>
      </c>
      <c r="E24" s="44" t="str">
        <f ca="1">IF(ROWS($1:11)&gt;COUNT(Dong),"",IF(OFFSET(TH!L$1,SMALL(Dong,ROWS($1:11)),)="331",OFFSET(TH!M$1,SMALL(Dong,ROWS($1:11)),),OFFSET(TH!L$1,SMALL(Dong,ROWS($1:11)),)))</f>
        <v>1331</v>
      </c>
      <c r="F24" s="44"/>
      <c r="G24" s="56">
        <f ca="1">IF(ROWS($1:11)&gt;COUNT(Dong),"",IF(OFFSET(TH!L$1,SMALL(Dong,ROWS($1:11)),)="331",OFFSET(TH!K$1,SMALL(Dong,ROWS($1:11)),),0))</f>
        <v>0</v>
      </c>
      <c r="H24" s="56">
        <f ca="1">IF(ROWS($1:11)&gt;COUNT(Dong),"",IF(OFFSET(TH!M$1,SMALL(Dong,ROWS($1:11)),)="331",OFFSET(TH!K$1,SMALL(Dong,ROWS($1:11)),),0))</f>
        <v>1420826</v>
      </c>
      <c r="I24" s="25">
        <f t="shared" ca="1" si="4"/>
        <v>0</v>
      </c>
      <c r="J24" s="25">
        <f t="shared" ca="1" si="5"/>
        <v>15629086</v>
      </c>
    </row>
    <row r="25" spans="1:10" s="18" customFormat="1" ht="18" customHeight="1">
      <c r="A25" s="9">
        <f ca="1">IF(ROWS($1:12)&gt;COUNT(Dong),"",OFFSET(TH!C$1,SMALL(Dong,ROWS($1:12)),))</f>
        <v>41156</v>
      </c>
      <c r="B25" s="9" t="str">
        <f ca="1">IF(ROWS($1:12)&gt;COUNT(Dong),"",OFFSET(TH!D$1,SMALL(Dong,ROWS($1:12)),))</f>
        <v>C06</v>
      </c>
      <c r="C25" s="9">
        <f ca="1">IF(ROWS($1:12)&gt;COUNT(Dong),"",OFFSET(TH!E$1,SMALL(Dong,ROWS($1:12)),))</f>
        <v>41156</v>
      </c>
      <c r="D25" s="215" t="str">
        <f ca="1">IF(ROWS($1:12)&gt;COUNT(Dong),"",OFFSET(TH!F$1,SMALL(Dong,ROWS($1:12)),))</f>
        <v>Thanh toán tiền hàng</v>
      </c>
      <c r="E25" s="44" t="str">
        <f ca="1">IF(ROWS($1:12)&gt;COUNT(Dong),"",IF(OFFSET(TH!L$1,SMALL(Dong,ROWS($1:12)),)="331",OFFSET(TH!M$1,SMALL(Dong,ROWS($1:12)),),OFFSET(TH!L$1,SMALL(Dong,ROWS($1:12)),)))</f>
        <v>1111</v>
      </c>
      <c r="F25" s="44"/>
      <c r="G25" s="56">
        <f ca="1">IF(ROWS($1:12)&gt;COUNT(Dong),"",IF(OFFSET(TH!L$1,SMALL(Dong,ROWS($1:12)),)="331",OFFSET(TH!K$1,SMALL(Dong,ROWS($1:12)),),0))</f>
        <v>15629086</v>
      </c>
      <c r="H25" s="56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41160</v>
      </c>
      <c r="B26" s="9" t="str">
        <f ca="1">IF(ROWS($1:13)&gt;COUNT(Dong),"",OFFSET(TH!D$1,SMALL(Dong,ROWS($1:13)),))</f>
        <v>N04</v>
      </c>
      <c r="C26" s="9">
        <f ca="1">IF(ROWS($1:13)&gt;COUNT(Dong),"",OFFSET(TH!E$1,SMALL(Dong,ROWS($1:13)),))</f>
        <v>41160</v>
      </c>
      <c r="D26" s="215" t="str">
        <f ca="1">IF(ROWS($1:13)&gt;COUNT(Dong),"",OFFSET(TH!F$1,SMALL(Dong,ROWS($1:13)),))</f>
        <v>Giấy tấm 1N +2X (145x144)</v>
      </c>
      <c r="E26" s="44" t="str">
        <f ca="1">IF(ROWS($1:13)&gt;COUNT(Dong),"",IF(OFFSET(TH!L$1,SMALL(Dong,ROWS($1:13)),)="331",OFFSET(TH!M$1,SMALL(Dong,ROWS($1:13)),),OFFSET(TH!L$1,SMALL(Dong,ROWS($1:13)),)))</f>
        <v>156</v>
      </c>
      <c r="F26" s="44"/>
      <c r="G26" s="56">
        <f ca="1">IF(ROWS($1:13)&gt;COUNT(Dong),"",IF(OFFSET(TH!L$1,SMALL(Dong,ROWS($1:13)),)="331",OFFSET(TH!K$1,SMALL(Dong,ROWS($1:13)),),0))</f>
        <v>0</v>
      </c>
      <c r="H26" s="56">
        <f ca="1">IF(ROWS($1:13)&gt;COUNT(Dong),"",IF(OFFSET(TH!M$1,SMALL(Dong,ROWS($1:13)),)="331",OFFSET(TH!K$1,SMALL(Dong,ROWS($1:13)),),0))</f>
        <v>5133600</v>
      </c>
      <c r="I26" s="25">
        <f t="shared" ca="1" si="4"/>
        <v>0</v>
      </c>
      <c r="J26" s="25">
        <f t="shared" ca="1" si="5"/>
        <v>5133600</v>
      </c>
    </row>
    <row r="27" spans="1:10" s="18" customFormat="1" ht="18" customHeight="1">
      <c r="A27" s="9">
        <f ca="1">IF(ROWS($1:14)&gt;COUNT(Dong),"",OFFSET(TH!C$1,SMALL(Dong,ROWS($1:14)),))</f>
        <v>41160</v>
      </c>
      <c r="B27" s="9" t="str">
        <f ca="1">IF(ROWS($1:14)&gt;COUNT(Dong),"",OFFSET(TH!D$1,SMALL(Dong,ROWS($1:14)),))</f>
        <v>N04</v>
      </c>
      <c r="C27" s="9">
        <f ca="1">IF(ROWS($1:14)&gt;COUNT(Dong),"",OFFSET(TH!E$1,SMALL(Dong,ROWS($1:14)),))</f>
        <v>41160</v>
      </c>
      <c r="D27" s="215" t="str">
        <f ca="1">IF(ROWS($1:14)&gt;COUNT(Dong),"",OFFSET(TH!F$1,SMALL(Dong,ROWS($1:14)),))</f>
        <v xml:space="preserve">VAT Giấy tấm </v>
      </c>
      <c r="E27" s="44" t="str">
        <f ca="1">IF(ROWS($1:14)&gt;COUNT(Dong),"",IF(OFFSET(TH!L$1,SMALL(Dong,ROWS($1:14)),)="331",OFFSET(TH!M$1,SMALL(Dong,ROWS($1:14)),),OFFSET(TH!L$1,SMALL(Dong,ROWS($1:14)),)))</f>
        <v>1331</v>
      </c>
      <c r="F27" s="44"/>
      <c r="G27" s="56">
        <f ca="1">IF(ROWS($1:14)&gt;COUNT(Dong),"",IF(OFFSET(TH!L$1,SMALL(Dong,ROWS($1:14)),)="331",OFFSET(TH!K$1,SMALL(Dong,ROWS($1:14)),),0))</f>
        <v>0</v>
      </c>
      <c r="H27" s="56">
        <f ca="1">IF(ROWS($1:14)&gt;COUNT(Dong),"",IF(OFFSET(TH!M$1,SMALL(Dong,ROWS($1:14)),)="331",OFFSET(TH!K$1,SMALL(Dong,ROWS($1:14)),),0))</f>
        <v>513360</v>
      </c>
      <c r="I27" s="25">
        <f t="shared" ca="1" si="4"/>
        <v>0</v>
      </c>
      <c r="J27" s="25">
        <f t="shared" ca="1" si="5"/>
        <v>5646960</v>
      </c>
    </row>
    <row r="28" spans="1:10" s="18" customFormat="1" ht="18" customHeight="1">
      <c r="A28" s="9">
        <f ca="1">IF(ROWS($1:15)&gt;COUNT(Dong),"",OFFSET(TH!C$1,SMALL(Dong,ROWS($1:15)),))</f>
        <v>41160</v>
      </c>
      <c r="B28" s="9" t="str">
        <f ca="1">IF(ROWS($1:15)&gt;COUNT(Dong),"",OFFSET(TH!D$1,SMALL(Dong,ROWS($1:15)),))</f>
        <v>C07</v>
      </c>
      <c r="C28" s="9">
        <f ca="1">IF(ROWS($1:15)&gt;COUNT(Dong),"",OFFSET(TH!E$1,SMALL(Dong,ROWS($1:15)),))</f>
        <v>41160</v>
      </c>
      <c r="D28" s="215" t="str">
        <f ca="1">IF(ROWS($1:15)&gt;COUNT(Dong),"",OFFSET(TH!F$1,SMALL(Dong,ROWS($1:15)),))</f>
        <v>Thanh toán tiền hàng</v>
      </c>
      <c r="E28" s="44" t="str">
        <f ca="1">IF(ROWS($1:15)&gt;COUNT(Dong),"",IF(OFFSET(TH!L$1,SMALL(Dong,ROWS($1:15)),)="331",OFFSET(TH!M$1,SMALL(Dong,ROWS($1:15)),),OFFSET(TH!L$1,SMALL(Dong,ROWS($1:15)),)))</f>
        <v>1111</v>
      </c>
      <c r="F28" s="44"/>
      <c r="G28" s="56">
        <f ca="1">IF(ROWS($1:15)&gt;COUNT(Dong),"",IF(OFFSET(TH!L$1,SMALL(Dong,ROWS($1:15)),)="331",OFFSET(TH!K$1,SMALL(Dong,ROWS($1:15)),),0))</f>
        <v>5646960</v>
      </c>
      <c r="H28" s="56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41172</v>
      </c>
      <c r="B29" s="9" t="str">
        <f ca="1">IF(ROWS($1:16)&gt;COUNT(Dong),"",OFFSET(TH!D$1,SMALL(Dong,ROWS($1:16)),))</f>
        <v>N05</v>
      </c>
      <c r="C29" s="9">
        <f ca="1">IF(ROWS($1:16)&gt;COUNT(Dong),"",OFFSET(TH!E$1,SMALL(Dong,ROWS($1:16)),))</f>
        <v>41172</v>
      </c>
      <c r="D29" s="215" t="str">
        <f ca="1">IF(ROWS($1:16)&gt;COUNT(Dong),"",OFFSET(TH!F$1,SMALL(Dong,ROWS($1:16)),))</f>
        <v>Giấy tấm 1N +2X (165x158)</v>
      </c>
      <c r="E29" s="44" t="str">
        <f ca="1">IF(ROWS($1:16)&gt;COUNT(Dong),"",IF(OFFSET(TH!L$1,SMALL(Dong,ROWS($1:16)),)="331",OFFSET(TH!M$1,SMALL(Dong,ROWS($1:16)),),OFFSET(TH!L$1,SMALL(Dong,ROWS($1:16)),)))</f>
        <v>156</v>
      </c>
      <c r="F29" s="44"/>
      <c r="G29" s="56">
        <f ca="1">IF(ROWS($1:16)&gt;COUNT(Dong),"",IF(OFFSET(TH!L$1,SMALL(Dong,ROWS($1:16)),)="331",OFFSET(TH!K$1,SMALL(Dong,ROWS($1:16)),),0))</f>
        <v>0</v>
      </c>
      <c r="H29" s="56">
        <f ca="1">IF(ROWS($1:16)&gt;COUNT(Dong),"",IF(OFFSET(TH!M$1,SMALL(Dong,ROWS($1:16)),)="331",OFFSET(TH!K$1,SMALL(Dong,ROWS($1:16)),),0))</f>
        <v>5143000</v>
      </c>
      <c r="I29" s="25">
        <f t="shared" ca="1" si="4"/>
        <v>0</v>
      </c>
      <c r="J29" s="25">
        <f t="shared" ca="1" si="5"/>
        <v>5143000</v>
      </c>
    </row>
    <row r="30" spans="1:10" s="18" customFormat="1" ht="18" customHeight="1">
      <c r="A30" s="9">
        <f ca="1">IF(ROWS($1:17)&gt;COUNT(Dong),"",OFFSET(TH!C$1,SMALL(Dong,ROWS($1:17)),))</f>
        <v>41172</v>
      </c>
      <c r="B30" s="9" t="str">
        <f ca="1">IF(ROWS($1:17)&gt;COUNT(Dong),"",OFFSET(TH!D$1,SMALL(Dong,ROWS($1:17)),))</f>
        <v>N05</v>
      </c>
      <c r="C30" s="9">
        <f ca="1">IF(ROWS($1:17)&gt;COUNT(Dong),"",OFFSET(TH!E$1,SMALL(Dong,ROWS($1:17)),))</f>
        <v>41172</v>
      </c>
      <c r="D30" s="215" t="str">
        <f ca="1">IF(ROWS($1:17)&gt;COUNT(Dong),"",OFFSET(TH!F$1,SMALL(Dong,ROWS($1:17)),))</f>
        <v xml:space="preserve">VAT Giấy tấm </v>
      </c>
      <c r="E30" s="44" t="str">
        <f ca="1">IF(ROWS($1:17)&gt;COUNT(Dong),"",IF(OFFSET(TH!L$1,SMALL(Dong,ROWS($1:17)),)="331",OFFSET(TH!M$1,SMALL(Dong,ROWS($1:17)),),OFFSET(TH!L$1,SMALL(Dong,ROWS($1:17)),)))</f>
        <v>1331</v>
      </c>
      <c r="F30" s="44"/>
      <c r="G30" s="56">
        <f ca="1">IF(ROWS($1:17)&gt;COUNT(Dong),"",IF(OFFSET(TH!L$1,SMALL(Dong,ROWS($1:17)),)="331",OFFSET(TH!K$1,SMALL(Dong,ROWS($1:17)),),0))</f>
        <v>0</v>
      </c>
      <c r="H30" s="56">
        <f ca="1">IF(ROWS($1:17)&gt;COUNT(Dong),"",IF(OFFSET(TH!M$1,SMALL(Dong,ROWS($1:17)),)="331",OFFSET(TH!K$1,SMALL(Dong,ROWS($1:17)),),0))</f>
        <v>514300</v>
      </c>
      <c r="I30" s="25">
        <f t="shared" ca="1" si="4"/>
        <v>0</v>
      </c>
      <c r="J30" s="25">
        <f t="shared" ca="1" si="5"/>
        <v>5657300</v>
      </c>
    </row>
    <row r="31" spans="1:10" s="18" customFormat="1" ht="18" customHeight="1">
      <c r="A31" s="9">
        <f ca="1">IF(ROWS($1:18)&gt;COUNT(Dong),"",OFFSET(TH!C$1,SMALL(Dong,ROWS($1:18)),))</f>
        <v>41172</v>
      </c>
      <c r="B31" s="9" t="str">
        <f ca="1">IF(ROWS($1:18)&gt;COUNT(Dong),"",OFFSET(TH!D$1,SMALL(Dong,ROWS($1:18)),))</f>
        <v>C11</v>
      </c>
      <c r="C31" s="9">
        <f ca="1">IF(ROWS($1:18)&gt;COUNT(Dong),"",OFFSET(TH!E$1,SMALL(Dong,ROWS($1:18)),))</f>
        <v>41172</v>
      </c>
      <c r="D31" s="215" t="str">
        <f ca="1">IF(ROWS($1:18)&gt;COUNT(Dong),"",OFFSET(TH!F$1,SMALL(Dong,ROWS($1:18)),))</f>
        <v>Thanh toán tiền hàng</v>
      </c>
      <c r="E31" s="44" t="str">
        <f ca="1">IF(ROWS($1:18)&gt;COUNT(Dong),"",IF(OFFSET(TH!L$1,SMALL(Dong,ROWS($1:18)),)="331",OFFSET(TH!M$1,SMALL(Dong,ROWS($1:18)),),OFFSET(TH!L$1,SMALL(Dong,ROWS($1:18)),)))</f>
        <v>1111</v>
      </c>
      <c r="F31" s="44"/>
      <c r="G31" s="56">
        <f ca="1">IF(ROWS($1:18)&gt;COUNT(Dong),"",IF(OFFSET(TH!L$1,SMALL(Dong,ROWS($1:18)),)="331",OFFSET(TH!K$1,SMALL(Dong,ROWS($1:18)),),0))</f>
        <v>5657300</v>
      </c>
      <c r="H31" s="56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 t="str">
        <f ca="1">IF(ROWS($1:19)&gt;COUNT(Dong),"",OFFSET(TH!D$1,SMALL(Dong,ROWS($1:19)),))</f>
        <v>N01</v>
      </c>
      <c r="C32" s="9">
        <f ca="1">IF(ROWS($1:19)&gt;COUNT(Dong),"",OFFSET(TH!E$1,SMALL(Dong,ROWS($1:19)),))</f>
        <v>41195</v>
      </c>
      <c r="D32" s="215" t="str">
        <f ca="1">IF(ROWS($1:19)&gt;COUNT(Dong),"",OFFSET(TH!F$1,SMALL(Dong,ROWS($1:19)),))</f>
        <v>Giấy tấm 2N +1X (110x173)</v>
      </c>
      <c r="E32" s="44" t="str">
        <f ca="1">IF(ROWS($1:19)&gt;COUNT(Dong),"",IF(OFFSET(TH!L$1,SMALL(Dong,ROWS($1:19)),)="331",OFFSET(TH!M$1,SMALL(Dong,ROWS($1:19)),),OFFSET(TH!L$1,SMALL(Dong,ROWS($1:19)),)))</f>
        <v>156</v>
      </c>
      <c r="F32" s="44"/>
      <c r="G32" s="56">
        <f ca="1">IF(ROWS($1:19)&gt;COUNT(Dong),"",IF(OFFSET(TH!L$1,SMALL(Dong,ROWS($1:19)),)="331",OFFSET(TH!K$1,SMALL(Dong,ROWS($1:19)),),0))</f>
        <v>0</v>
      </c>
      <c r="H32" s="56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6375000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 t="str">
        <f ca="1">IF(ROWS($1:20)&gt;COUNT(Dong),"",OFFSET(TH!D$1,SMALL(Dong,ROWS($1:20)),))</f>
        <v>N01</v>
      </c>
      <c r="C33" s="9">
        <f ca="1">IF(ROWS($1:20)&gt;COUNT(Dong),"",OFFSET(TH!E$1,SMALL(Dong,ROWS($1:20)),))</f>
        <v>41195</v>
      </c>
      <c r="D33" s="215" t="str">
        <f ca="1">IF(ROWS($1:20)&gt;COUNT(Dong),"",OFFSET(TH!F$1,SMALL(Dong,ROWS($1:20)),))</f>
        <v xml:space="preserve">VAT Giấy tấm </v>
      </c>
      <c r="E33" s="44" t="str">
        <f ca="1">IF(ROWS($1:20)&gt;COUNT(Dong),"",IF(OFFSET(TH!L$1,SMALL(Dong,ROWS($1:20)),)="331",OFFSET(TH!M$1,SMALL(Dong,ROWS($1:20)),),OFFSET(TH!L$1,SMALL(Dong,ROWS($1:20)),)))</f>
        <v>1331</v>
      </c>
      <c r="F33" s="44"/>
      <c r="G33" s="56">
        <f ca="1">IF(ROWS($1:20)&gt;COUNT(Dong),"",IF(OFFSET(TH!L$1,SMALL(Dong,ROWS($1:20)),)="331",OFFSET(TH!K$1,SMALL(Dong,ROWS($1:20)),),0))</f>
        <v>0</v>
      </c>
      <c r="H33" s="56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7012500</v>
      </c>
    </row>
    <row r="34" spans="1:10" s="18" customFormat="1" ht="18" customHeight="1">
      <c r="A34" s="9">
        <f ca="1">IF(ROWS($1:21)&gt;COUNT(Dong),"",OFFSET(TH!C$1,SMALL(Dong,ROWS($1:21)),))</f>
        <v>41195</v>
      </c>
      <c r="B34" s="9" t="str">
        <f ca="1">IF(ROWS($1:21)&gt;COUNT(Dong),"",OFFSET(TH!D$1,SMALL(Dong,ROWS($1:21)),))</f>
        <v>C01</v>
      </c>
      <c r="C34" s="9">
        <f ca="1">IF(ROWS($1:21)&gt;COUNT(Dong),"",OFFSET(TH!E$1,SMALL(Dong,ROWS($1:21)),))</f>
        <v>41195</v>
      </c>
      <c r="D34" s="215" t="str">
        <f ca="1">IF(ROWS($1:21)&gt;COUNT(Dong),"",OFFSET(TH!F$1,SMALL(Dong,ROWS($1:21)),))</f>
        <v>Thanh toán tiền hàng</v>
      </c>
      <c r="E34" s="44" t="str">
        <f ca="1">IF(ROWS($1:21)&gt;COUNT(Dong),"",IF(OFFSET(TH!L$1,SMALL(Dong,ROWS($1:21)),)="331",OFFSET(TH!M$1,SMALL(Dong,ROWS($1:21)),),OFFSET(TH!L$1,SMALL(Dong,ROWS($1:21)),)))</f>
        <v>1111</v>
      </c>
      <c r="F34" s="44"/>
      <c r="G34" s="56">
        <f ca="1">IF(ROWS($1:21)&gt;COUNT(Dong),"",IF(OFFSET(TH!L$1,SMALL(Dong,ROWS($1:21)),)="331",OFFSET(TH!K$1,SMALL(Dong,ROWS($1:21)),),0))</f>
        <v>7012500</v>
      </c>
      <c r="H34" s="56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 t="str">
        <f ca="1">IF(ROWS($1:22)&gt;COUNT(Dong),"",OFFSET(TH!D$1,SMALL(Dong,ROWS($1:22)),))</f>
        <v>N02</v>
      </c>
      <c r="C35" s="9">
        <f ca="1">IF(ROWS($1:22)&gt;COUNT(Dong),"",OFFSET(TH!E$1,SMALL(Dong,ROWS($1:22)),))</f>
        <v>41201</v>
      </c>
      <c r="D35" s="215" t="str">
        <f ca="1">IF(ROWS($1:22)&gt;COUNT(Dong),"",OFFSET(TH!F$1,SMALL(Dong,ROWS($1:22)),))</f>
        <v>Giấy tấm 1N +2X (115x163)</v>
      </c>
      <c r="E35" s="44" t="str">
        <f ca="1">IF(ROWS($1:22)&gt;COUNT(Dong),"",IF(OFFSET(TH!L$1,SMALL(Dong,ROWS($1:22)),)="331",OFFSET(TH!M$1,SMALL(Dong,ROWS($1:22)),),OFFSET(TH!L$1,SMALL(Dong,ROWS($1:22)),)))</f>
        <v>156</v>
      </c>
      <c r="F35" s="44"/>
      <c r="G35" s="56">
        <f ca="1">IF(ROWS($1:22)&gt;COUNT(Dong),"",IF(OFFSET(TH!L$1,SMALL(Dong,ROWS($1:22)),)="331",OFFSET(TH!K$1,SMALL(Dong,ROWS($1:22)),),0))</f>
        <v>0</v>
      </c>
      <c r="H35" s="56">
        <f ca="1">IF(ROWS($1:22)&gt;COUNT(Dong),"",IF(OFFSET(TH!M$1,SMALL(Dong,ROWS($1:22)),)="331",OFFSET(TH!K$1,SMALL(Dong,ROWS($1:22)),),0))</f>
        <v>5811000</v>
      </c>
      <c r="I35" s="25">
        <f t="shared" ca="1" si="4"/>
        <v>0</v>
      </c>
      <c r="J35" s="25">
        <f t="shared" ca="1" si="5"/>
        <v>5811000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 t="str">
        <f ca="1">IF(ROWS($1:23)&gt;COUNT(Dong),"",OFFSET(TH!D$1,SMALL(Dong,ROWS($1:23)),))</f>
        <v>N02</v>
      </c>
      <c r="C36" s="9">
        <f ca="1">IF(ROWS($1:23)&gt;COUNT(Dong),"",OFFSET(TH!E$1,SMALL(Dong,ROWS($1:23)),))</f>
        <v>41201</v>
      </c>
      <c r="D36" s="215" t="str">
        <f ca="1">IF(ROWS($1:23)&gt;COUNT(Dong),"",OFFSET(TH!F$1,SMALL(Dong,ROWS($1:23)),))</f>
        <v>Giấy tấm 1N +2X (150x92)</v>
      </c>
      <c r="E36" s="44" t="str">
        <f ca="1">IF(ROWS($1:23)&gt;COUNT(Dong),"",IF(OFFSET(TH!L$1,SMALL(Dong,ROWS($1:23)),)="331",OFFSET(TH!M$1,SMALL(Dong,ROWS($1:23)),),OFFSET(TH!L$1,SMALL(Dong,ROWS($1:23)),)))</f>
        <v>156</v>
      </c>
      <c r="F36" s="44"/>
      <c r="G36" s="56">
        <f ca="1">IF(ROWS($1:23)&gt;COUNT(Dong),"",IF(OFFSET(TH!L$1,SMALL(Dong,ROWS($1:23)),)="331",OFFSET(TH!K$1,SMALL(Dong,ROWS($1:23)),),0))</f>
        <v>0</v>
      </c>
      <c r="H36" s="56">
        <f ca="1">IF(ROWS($1:23)&gt;COUNT(Dong),"",IF(OFFSET(TH!M$1,SMALL(Dong,ROWS($1:23)),)="331",OFFSET(TH!K$1,SMALL(Dong,ROWS($1:23)),),0))</f>
        <v>4278000</v>
      </c>
      <c r="I36" s="25">
        <f t="shared" ca="1" si="4"/>
        <v>0</v>
      </c>
      <c r="J36" s="25">
        <f t="shared" ca="1" si="5"/>
        <v>10089000</v>
      </c>
    </row>
    <row r="37" spans="1:10" s="18" customFormat="1" ht="18" customHeight="1">
      <c r="A37" s="9">
        <f ca="1">IF(ROWS($1:24)&gt;COUNT(Dong),"",OFFSET(TH!C$1,SMALL(Dong,ROWS($1:24)),))</f>
        <v>41201</v>
      </c>
      <c r="B37" s="9" t="str">
        <f ca="1">IF(ROWS($1:24)&gt;COUNT(Dong),"",OFFSET(TH!D$1,SMALL(Dong,ROWS($1:24)),))</f>
        <v>N02</v>
      </c>
      <c r="C37" s="9">
        <f ca="1">IF(ROWS($1:24)&gt;COUNT(Dong),"",OFFSET(TH!E$1,SMALL(Dong,ROWS($1:24)),))</f>
        <v>41201</v>
      </c>
      <c r="D37" s="215" t="str">
        <f ca="1">IF(ROWS($1:24)&gt;COUNT(Dong),"",OFFSET(TH!F$1,SMALL(Dong,ROWS($1:24)),))</f>
        <v xml:space="preserve">VAT Giấy tấm </v>
      </c>
      <c r="E37" s="44" t="str">
        <f ca="1">IF(ROWS($1:24)&gt;COUNT(Dong),"",IF(OFFSET(TH!L$1,SMALL(Dong,ROWS($1:24)),)="331",OFFSET(TH!M$1,SMALL(Dong,ROWS($1:24)),),OFFSET(TH!L$1,SMALL(Dong,ROWS($1:24)),)))</f>
        <v>1331</v>
      </c>
      <c r="F37" s="44"/>
      <c r="G37" s="56">
        <f ca="1">IF(ROWS($1:24)&gt;COUNT(Dong),"",IF(OFFSET(TH!L$1,SMALL(Dong,ROWS($1:24)),)="331",OFFSET(TH!K$1,SMALL(Dong,ROWS($1:24)),),0))</f>
        <v>0</v>
      </c>
      <c r="H37" s="56">
        <f ca="1">IF(ROWS($1:24)&gt;COUNT(Dong),"",IF(OFFSET(TH!M$1,SMALL(Dong,ROWS($1:24)),)="331",OFFSET(TH!K$1,SMALL(Dong,ROWS($1:24)),),0))</f>
        <v>1008900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11097900</v>
      </c>
    </row>
    <row r="38" spans="1:10" s="18" customFormat="1" ht="18" customHeight="1">
      <c r="A38" s="9">
        <f ca="1">IF(ROWS($1:25)&gt;COUNT(Dong),"",OFFSET(TH!C$1,SMALL(Dong,ROWS($1:25)),))</f>
        <v>41201</v>
      </c>
      <c r="B38" s="9" t="str">
        <f ca="1">IF(ROWS($1:25)&gt;COUNT(Dong),"",OFFSET(TH!D$1,SMALL(Dong,ROWS($1:25)),))</f>
        <v>C04</v>
      </c>
      <c r="C38" s="9">
        <f ca="1">IF(ROWS($1:25)&gt;COUNT(Dong),"",OFFSET(TH!E$1,SMALL(Dong,ROWS($1:25)),))</f>
        <v>41201</v>
      </c>
      <c r="D38" s="215" t="str">
        <f ca="1">IF(ROWS($1:25)&gt;COUNT(Dong),"",OFFSET(TH!F$1,SMALL(Dong,ROWS($1:25)),))</f>
        <v>Thanh toán tiền hàng</v>
      </c>
      <c r="E38" s="44" t="str">
        <f ca="1">IF(ROWS($1:25)&gt;COUNT(Dong),"",IF(OFFSET(TH!L$1,SMALL(Dong,ROWS($1:25)),)="331",OFFSET(TH!M$1,SMALL(Dong,ROWS($1:25)),),OFFSET(TH!L$1,SMALL(Dong,ROWS($1:25)),)))</f>
        <v>1111</v>
      </c>
      <c r="F38" s="44"/>
      <c r="G38" s="56">
        <f ca="1">IF(ROWS($1:25)&gt;COUNT(Dong),"",IF(OFFSET(TH!L$1,SMALL(Dong,ROWS($1:25)),)="331",OFFSET(TH!K$1,SMALL(Dong,ROWS($1:25)),),0))</f>
        <v>11097900</v>
      </c>
      <c r="H38" s="56">
        <f ca="1">IF(ROWS($1:25)&gt;COUNT(Dong),"",IF(OFFSET(TH!M$1,SMALL(Dong,ROWS($1:25)),)="331",OFFSET(TH!K$1,SMALL(Dong,ROWS($1:25)),),0))</f>
        <v>0</v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>
        <f ca="1">IF(ROWS($1:26)&gt;COUNT(Dong),"",OFFSET(TH!C$1,SMALL(Dong,ROWS($1:26)),))</f>
        <v>41207</v>
      </c>
      <c r="B39" s="9" t="str">
        <f ca="1">IF(ROWS($1:26)&gt;COUNT(Dong),"",OFFSET(TH!D$1,SMALL(Dong,ROWS($1:26)),))</f>
        <v>N03</v>
      </c>
      <c r="C39" s="9">
        <f ca="1">IF(ROWS($1:26)&gt;COUNT(Dong),"",OFFSET(TH!E$1,SMALL(Dong,ROWS($1:26)),))</f>
        <v>41207</v>
      </c>
      <c r="D39" s="215" t="str">
        <f ca="1">IF(ROWS($1:26)&gt;COUNT(Dong),"",OFFSET(TH!F$1,SMALL(Dong,ROWS($1:26)),))</f>
        <v>Giấy tấm 1N +2X (105x158)</v>
      </c>
      <c r="E39" s="44" t="str">
        <f ca="1">IF(ROWS($1:26)&gt;COUNT(Dong),"",IF(OFFSET(TH!L$1,SMALL(Dong,ROWS($1:26)),)="331",OFFSET(TH!M$1,SMALL(Dong,ROWS($1:26)),),OFFSET(TH!L$1,SMALL(Dong,ROWS($1:26)),)))</f>
        <v>156</v>
      </c>
      <c r="F39" s="44"/>
      <c r="G39" s="56">
        <f ca="1">IF(ROWS($1:26)&gt;COUNT(Dong),"",IF(OFFSET(TH!L$1,SMALL(Dong,ROWS($1:26)),)="331",OFFSET(TH!K$1,SMALL(Dong,ROWS($1:26)),),0))</f>
        <v>0</v>
      </c>
      <c r="H39" s="56">
        <f ca="1">IF(ROWS($1:26)&gt;COUNT(Dong),"",IF(OFFSET(TH!M$1,SMALL(Dong,ROWS($1:26)),)="331",OFFSET(TH!K$1,SMALL(Dong,ROWS($1:26)),),0))</f>
        <v>5143000</v>
      </c>
      <c r="I39" s="25">
        <f t="shared" ca="1" si="6"/>
        <v>0</v>
      </c>
      <c r="J39" s="25">
        <f t="shared" ca="1" si="7"/>
        <v>5143000</v>
      </c>
    </row>
    <row r="40" spans="1:10" s="18" customFormat="1" ht="18" customHeight="1">
      <c r="A40" s="9">
        <f ca="1">IF(ROWS($1:27)&gt;COUNT(Dong),"",OFFSET(TH!C$1,SMALL(Dong,ROWS($1:27)),))</f>
        <v>41207</v>
      </c>
      <c r="B40" s="9" t="str">
        <f ca="1">IF(ROWS($1:27)&gt;COUNT(Dong),"",OFFSET(TH!D$1,SMALL(Dong,ROWS($1:27)),))</f>
        <v>N03</v>
      </c>
      <c r="C40" s="9">
        <f ca="1">IF(ROWS($1:27)&gt;COUNT(Dong),"",OFFSET(TH!E$1,SMALL(Dong,ROWS($1:27)),))</f>
        <v>41207</v>
      </c>
      <c r="D40" s="215" t="str">
        <f ca="1">IF(ROWS($1:27)&gt;COUNT(Dong),"",OFFSET(TH!F$1,SMALL(Dong,ROWS($1:27)),))</f>
        <v>Giấy tấm 1N +2X (120x175)</v>
      </c>
      <c r="E40" s="44" t="str">
        <f ca="1">IF(ROWS($1:27)&gt;COUNT(Dong),"",IF(OFFSET(TH!L$1,SMALL(Dong,ROWS($1:27)),)="331",OFFSET(TH!M$1,SMALL(Dong,ROWS($1:27)),),OFFSET(TH!L$1,SMALL(Dong,ROWS($1:27)),)))</f>
        <v>156</v>
      </c>
      <c r="F40" s="44"/>
      <c r="G40" s="56">
        <f ca="1">IF(ROWS($1:27)&gt;COUNT(Dong),"",IF(OFFSET(TH!L$1,SMALL(Dong,ROWS($1:27)),)="331",OFFSET(TH!K$1,SMALL(Dong,ROWS($1:27)),),0))</f>
        <v>0</v>
      </c>
      <c r="H40" s="56">
        <f ca="1">IF(ROWS($1:27)&gt;COUNT(Dong),"",IF(OFFSET(TH!M$1,SMALL(Dong,ROWS($1:27)),)="331",OFFSET(TH!K$1,SMALL(Dong,ROWS($1:27)),),0))</f>
        <v>6510000</v>
      </c>
      <c r="I40" s="25">
        <f t="shared" ca="1" si="6"/>
        <v>0</v>
      </c>
      <c r="J40" s="25">
        <f t="shared" ca="1" si="7"/>
        <v>11653000</v>
      </c>
    </row>
    <row r="41" spans="1:10" s="18" customFormat="1" ht="18" customHeight="1">
      <c r="A41" s="9">
        <f ca="1">IF(ROWS($1:28)&gt;COUNT(Dong),"",OFFSET(TH!C$1,SMALL(Dong,ROWS($1:28)),))</f>
        <v>41207</v>
      </c>
      <c r="B41" s="9" t="str">
        <f ca="1">IF(ROWS($1:28)&gt;COUNT(Dong),"",OFFSET(TH!D$1,SMALL(Dong,ROWS($1:28)),))</f>
        <v>N03</v>
      </c>
      <c r="C41" s="9">
        <f ca="1">IF(ROWS($1:28)&gt;COUNT(Dong),"",OFFSET(TH!E$1,SMALL(Dong,ROWS($1:28)),))</f>
        <v>41207</v>
      </c>
      <c r="D41" s="215" t="str">
        <f ca="1">IF(ROWS($1:28)&gt;COUNT(Dong),"",OFFSET(TH!F$1,SMALL(Dong,ROWS($1:28)),))</f>
        <v xml:space="preserve">VAT Giấy tấm </v>
      </c>
      <c r="E41" s="44" t="str">
        <f ca="1">IF(ROWS($1:28)&gt;COUNT(Dong),"",IF(OFFSET(TH!L$1,SMALL(Dong,ROWS($1:28)),)="331",OFFSET(TH!M$1,SMALL(Dong,ROWS($1:28)),),OFFSET(TH!L$1,SMALL(Dong,ROWS($1:28)),)))</f>
        <v>1331</v>
      </c>
      <c r="F41" s="44"/>
      <c r="G41" s="56">
        <f ca="1">IF(ROWS($1:28)&gt;COUNT(Dong),"",IF(OFFSET(TH!L$1,SMALL(Dong,ROWS($1:28)),)="331",OFFSET(TH!K$1,SMALL(Dong,ROWS($1:28)),),0))</f>
        <v>0</v>
      </c>
      <c r="H41" s="56">
        <f ca="1">IF(ROWS($1:28)&gt;COUNT(Dong),"",IF(OFFSET(TH!M$1,SMALL(Dong,ROWS($1:28)),)="331",OFFSET(TH!K$1,SMALL(Dong,ROWS($1:28)),),0))</f>
        <v>1165300</v>
      </c>
      <c r="I41" s="25">
        <f t="shared" ca="1" si="6"/>
        <v>0</v>
      </c>
      <c r="J41" s="25">
        <f t="shared" ca="1" si="7"/>
        <v>12818300</v>
      </c>
    </row>
    <row r="42" spans="1:10" s="18" customFormat="1" ht="18" customHeight="1">
      <c r="A42" s="9">
        <f ca="1">IF(ROWS($1:29)&gt;COUNT(Dong),"",OFFSET(TH!C$1,SMALL(Dong,ROWS($1:29)),))</f>
        <v>41207</v>
      </c>
      <c r="B42" s="9" t="str">
        <f ca="1">IF(ROWS($1:29)&gt;COUNT(Dong),"",OFFSET(TH!D$1,SMALL(Dong,ROWS($1:29)),))</f>
        <v>C06</v>
      </c>
      <c r="C42" s="9">
        <f ca="1">IF(ROWS($1:29)&gt;COUNT(Dong),"",OFFSET(TH!E$1,SMALL(Dong,ROWS($1:29)),))</f>
        <v>41207</v>
      </c>
      <c r="D42" s="215" t="str">
        <f ca="1">IF(ROWS($1:29)&gt;COUNT(Dong),"",OFFSET(TH!F$1,SMALL(Dong,ROWS($1:29)),))</f>
        <v>Thanh toán tiền hàng</v>
      </c>
      <c r="E42" s="44" t="str">
        <f ca="1">IF(ROWS($1:29)&gt;COUNT(Dong),"",IF(OFFSET(TH!L$1,SMALL(Dong,ROWS($1:29)),)="331",OFFSET(TH!M$1,SMALL(Dong,ROWS($1:29)),),OFFSET(TH!L$1,SMALL(Dong,ROWS($1:29)),)))</f>
        <v>1111</v>
      </c>
      <c r="F42" s="44"/>
      <c r="G42" s="56">
        <f ca="1">IF(ROWS($1:29)&gt;COUNT(Dong),"",IF(OFFSET(TH!L$1,SMALL(Dong,ROWS($1:29)),)="331",OFFSET(TH!K$1,SMALL(Dong,ROWS($1:29)),),0))</f>
        <v>12818300</v>
      </c>
      <c r="H42" s="56">
        <f ca="1">IF(ROWS($1:29)&gt;COUNT(Dong),"",IF(OFFSET(TH!M$1,SMALL(Dong,ROWS($1:29)),)="331",OFFSET(TH!K$1,SMALL(Dong,ROWS($1:29)),),0))</f>
        <v>0</v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>
        <f ca="1">IF(ROWS($1:30)&gt;COUNT(Dong),"",OFFSET(TH!C$1,SMALL(Dong,ROWS($1:30)),))</f>
        <v>41208</v>
      </c>
      <c r="B43" s="9" t="str">
        <f ca="1">IF(ROWS($1:30)&gt;COUNT(Dong),"",OFFSET(TH!D$1,SMALL(Dong,ROWS($1:30)),))</f>
        <v>N04</v>
      </c>
      <c r="C43" s="9">
        <f ca="1">IF(ROWS($1:30)&gt;COUNT(Dong),"",OFFSET(TH!E$1,SMALL(Dong,ROWS($1:30)),))</f>
        <v>41208</v>
      </c>
      <c r="D43" s="215" t="str">
        <f ca="1">IF(ROWS($1:30)&gt;COUNT(Dong),"",OFFSET(TH!F$1,SMALL(Dong,ROWS($1:30)),))</f>
        <v>Giấy tấm 2N +1X (87x208)</v>
      </c>
      <c r="E43" s="44" t="str">
        <f ca="1">IF(ROWS($1:30)&gt;COUNT(Dong),"",IF(OFFSET(TH!L$1,SMALL(Dong,ROWS($1:30)),)="331",OFFSET(TH!M$1,SMALL(Dong,ROWS($1:30)),),OFFSET(TH!L$1,SMALL(Dong,ROWS($1:30)),)))</f>
        <v>156</v>
      </c>
      <c r="F43" s="44"/>
      <c r="G43" s="56">
        <f ca="1">IF(ROWS($1:30)&gt;COUNT(Dong),"",IF(OFFSET(TH!L$1,SMALL(Dong,ROWS($1:30)),)="331",OFFSET(TH!K$1,SMALL(Dong,ROWS($1:30)),),0))</f>
        <v>0</v>
      </c>
      <c r="H43" s="56">
        <f ca="1">IF(ROWS($1:30)&gt;COUNT(Dong),"",IF(OFFSET(TH!M$1,SMALL(Dong,ROWS($1:30)),)="331",OFFSET(TH!K$1,SMALL(Dong,ROWS($1:30)),),0))</f>
        <v>6122620</v>
      </c>
      <c r="I43" s="25">
        <f t="shared" ca="1" si="6"/>
        <v>0</v>
      </c>
      <c r="J43" s="25">
        <f t="shared" ca="1" si="7"/>
        <v>6122620</v>
      </c>
    </row>
    <row r="44" spans="1:10" s="18" customFormat="1" ht="18" customHeight="1">
      <c r="A44" s="9">
        <f ca="1">IF(ROWS($1:31)&gt;COUNT(Dong),"",OFFSET(TH!C$1,SMALL(Dong,ROWS($1:31)),))</f>
        <v>41208</v>
      </c>
      <c r="B44" s="9" t="str">
        <f ca="1">IF(ROWS($1:31)&gt;COUNT(Dong),"",OFFSET(TH!D$1,SMALL(Dong,ROWS($1:31)),))</f>
        <v>N04</v>
      </c>
      <c r="C44" s="9">
        <f ca="1">IF(ROWS($1:31)&gt;COUNT(Dong),"",OFFSET(TH!E$1,SMALL(Dong,ROWS($1:31)),))</f>
        <v>41208</v>
      </c>
      <c r="D44" s="215" t="str">
        <f ca="1">IF(ROWS($1:31)&gt;COUNT(Dong),"",OFFSET(TH!F$1,SMALL(Dong,ROWS($1:31)),))</f>
        <v xml:space="preserve">VAT Giấy tấm </v>
      </c>
      <c r="E44" s="44" t="str">
        <f ca="1">IF(ROWS($1:31)&gt;COUNT(Dong),"",IF(OFFSET(TH!L$1,SMALL(Dong,ROWS($1:31)),)="331",OFFSET(TH!M$1,SMALL(Dong,ROWS($1:31)),),OFFSET(TH!L$1,SMALL(Dong,ROWS($1:31)),)))</f>
        <v>1331</v>
      </c>
      <c r="F44" s="44"/>
      <c r="G44" s="56">
        <f ca="1">IF(ROWS($1:31)&gt;COUNT(Dong),"",IF(OFFSET(TH!L$1,SMALL(Dong,ROWS($1:31)),)="331",OFFSET(TH!K$1,SMALL(Dong,ROWS($1:31)),),0))</f>
        <v>0</v>
      </c>
      <c r="H44" s="56">
        <f ca="1">IF(ROWS($1:31)&gt;COUNT(Dong),"",IF(OFFSET(TH!M$1,SMALL(Dong,ROWS($1:31)),)="331",OFFSET(TH!K$1,SMALL(Dong,ROWS($1:31)),),0))</f>
        <v>612262</v>
      </c>
      <c r="I44" s="25">
        <f t="shared" ca="1" si="6"/>
        <v>0</v>
      </c>
      <c r="J44" s="25">
        <f t="shared" ca="1" si="7"/>
        <v>6734882</v>
      </c>
    </row>
    <row r="45" spans="1:10" s="18" customFormat="1" ht="18" customHeight="1">
      <c r="A45" s="9">
        <f ca="1">IF(ROWS($1:32)&gt;COUNT(Dong),"",OFFSET(TH!C$1,SMALL(Dong,ROWS($1:32)),))</f>
        <v>41208</v>
      </c>
      <c r="B45" s="9" t="str">
        <f ca="1">IF(ROWS($1:32)&gt;COUNT(Dong),"",OFFSET(TH!D$1,SMALL(Dong,ROWS($1:32)),))</f>
        <v>C07</v>
      </c>
      <c r="C45" s="9">
        <f ca="1">IF(ROWS($1:32)&gt;COUNT(Dong),"",OFFSET(TH!E$1,SMALL(Dong,ROWS($1:32)),))</f>
        <v>41208</v>
      </c>
      <c r="D45" s="215" t="str">
        <f ca="1">IF(ROWS($1:32)&gt;COUNT(Dong),"",OFFSET(TH!F$1,SMALL(Dong,ROWS($1:32)),))</f>
        <v>Thanh toán tiền hàng</v>
      </c>
      <c r="E45" s="44" t="str">
        <f ca="1">IF(ROWS($1:32)&gt;COUNT(Dong),"",IF(OFFSET(TH!L$1,SMALL(Dong,ROWS($1:32)),)="331",OFFSET(TH!M$1,SMALL(Dong,ROWS($1:32)),),OFFSET(TH!L$1,SMALL(Dong,ROWS($1:32)),)))</f>
        <v>1111</v>
      </c>
      <c r="F45" s="44"/>
      <c r="G45" s="56">
        <f ca="1">IF(ROWS($1:32)&gt;COUNT(Dong),"",IF(OFFSET(TH!L$1,SMALL(Dong,ROWS($1:32)),)="331",OFFSET(TH!K$1,SMALL(Dong,ROWS($1:32)),),0))</f>
        <v>6734882</v>
      </c>
      <c r="H45" s="56">
        <f ca="1">IF(ROWS($1:32)&gt;COUNT(Dong),"",IF(OFFSET(TH!M$1,SMALL(Dong,ROWS($1:32)),)="331",OFFSET(TH!K$1,SMALL(Dong,ROWS($1:32)),),0))</f>
        <v>0</v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>
        <f ca="1">IF(ROWS($1:33)&gt;COUNT(Dong),"",OFFSET(TH!C$1,SMALL(Dong,ROWS($1:33)),))</f>
        <v>41215</v>
      </c>
      <c r="B46" s="9" t="str">
        <f ca="1">IF(ROWS($1:33)&gt;COUNT(Dong),"",OFFSET(TH!D$1,SMALL(Dong,ROWS($1:33)),))</f>
        <v>N06</v>
      </c>
      <c r="C46" s="9">
        <f ca="1">IF(ROWS($1:33)&gt;COUNT(Dong),"",OFFSET(TH!E$1,SMALL(Dong,ROWS($1:33)),))</f>
        <v>41215</v>
      </c>
      <c r="D46" s="215" t="str">
        <f ca="1">IF(ROWS($1:33)&gt;COUNT(Dong),"",OFFSET(TH!F$1,SMALL(Dong,ROWS($1:33)),))</f>
        <v>Giấy tấm 2N +1X (110x173)</v>
      </c>
      <c r="E46" s="44" t="str">
        <f ca="1">IF(ROWS($1:33)&gt;COUNT(Dong),"",IF(OFFSET(TH!L$1,SMALL(Dong,ROWS($1:33)),)="331",OFFSET(TH!M$1,SMALL(Dong,ROWS($1:33)),),OFFSET(TH!L$1,SMALL(Dong,ROWS($1:33)),)))</f>
        <v>156</v>
      </c>
      <c r="F46" s="44"/>
      <c r="G46" s="56">
        <f ca="1">IF(ROWS($1:33)&gt;COUNT(Dong),"",IF(OFFSET(TH!L$1,SMALL(Dong,ROWS($1:33)),)="331",OFFSET(TH!K$1,SMALL(Dong,ROWS($1:33)),),0))</f>
        <v>0</v>
      </c>
      <c r="H46" s="56">
        <f ca="1">IF(ROWS($1:33)&gt;COUNT(Dong),"",IF(OFFSET(TH!M$1,SMALL(Dong,ROWS($1:33)),)="331",OFFSET(TH!K$1,SMALL(Dong,ROWS($1:33)),),0))</f>
        <v>12750000</v>
      </c>
      <c r="I46" s="25">
        <f t="shared" ca="1" si="6"/>
        <v>0</v>
      </c>
      <c r="J46" s="25">
        <f t="shared" ca="1" si="7"/>
        <v>12750000</v>
      </c>
    </row>
    <row r="47" spans="1:10" s="18" customFormat="1" ht="18" customHeight="1">
      <c r="A47" s="9">
        <f ca="1">IF(ROWS($1:34)&gt;COUNT(Dong),"",OFFSET(TH!C$1,SMALL(Dong,ROWS($1:34)),))</f>
        <v>41215</v>
      </c>
      <c r="B47" s="9" t="str">
        <f ca="1">IF(ROWS($1:34)&gt;COUNT(Dong),"",OFFSET(TH!D$1,SMALL(Dong,ROWS($1:34)),))</f>
        <v>N06</v>
      </c>
      <c r="C47" s="9">
        <f ca="1">IF(ROWS($1:34)&gt;COUNT(Dong),"",OFFSET(TH!E$1,SMALL(Dong,ROWS($1:34)),))</f>
        <v>41215</v>
      </c>
      <c r="D47" s="215" t="str">
        <f ca="1">IF(ROWS($1:34)&gt;COUNT(Dong),"",OFFSET(TH!F$1,SMALL(Dong,ROWS($1:34)),))</f>
        <v xml:space="preserve">VAT Giấy tấm </v>
      </c>
      <c r="E47" s="44" t="str">
        <f ca="1">IF(ROWS($1:34)&gt;COUNT(Dong),"",IF(OFFSET(TH!L$1,SMALL(Dong,ROWS($1:34)),)="331",OFFSET(TH!M$1,SMALL(Dong,ROWS($1:34)),),OFFSET(TH!L$1,SMALL(Dong,ROWS($1:34)),)))</f>
        <v>1331</v>
      </c>
      <c r="F47" s="44"/>
      <c r="G47" s="56">
        <f ca="1">IF(ROWS($1:34)&gt;COUNT(Dong),"",IF(OFFSET(TH!L$1,SMALL(Dong,ROWS($1:34)),)="331",OFFSET(TH!K$1,SMALL(Dong,ROWS($1:34)),),0))</f>
        <v>0</v>
      </c>
      <c r="H47" s="56">
        <f ca="1">IF(ROWS($1:34)&gt;COUNT(Dong),"",IF(OFFSET(TH!M$1,SMALL(Dong,ROWS($1:34)),)="331",OFFSET(TH!K$1,SMALL(Dong,ROWS($1:34)),),0))</f>
        <v>1275000</v>
      </c>
      <c r="I47" s="25">
        <f t="shared" ca="1" si="6"/>
        <v>0</v>
      </c>
      <c r="J47" s="25">
        <f t="shared" ca="1" si="7"/>
        <v>14025000</v>
      </c>
    </row>
    <row r="48" spans="1:10" s="18" customFormat="1" ht="18" customHeight="1">
      <c r="A48" s="9">
        <f ca="1">IF(ROWS($1:35)&gt;COUNT(Dong),"",OFFSET(TH!C$1,SMALL(Dong,ROWS($1:35)),))</f>
        <v>41215</v>
      </c>
      <c r="B48" s="9" t="str">
        <f ca="1">IF(ROWS($1:35)&gt;COUNT(Dong),"",OFFSET(TH!D$1,SMALL(Dong,ROWS($1:35)),))</f>
        <v>C10</v>
      </c>
      <c r="C48" s="9">
        <f ca="1">IF(ROWS($1:35)&gt;COUNT(Dong),"",OFFSET(TH!E$1,SMALL(Dong,ROWS($1:35)),))</f>
        <v>41215</v>
      </c>
      <c r="D48" s="215" t="str">
        <f ca="1">IF(ROWS($1:35)&gt;COUNT(Dong),"",OFFSET(TH!F$1,SMALL(Dong,ROWS($1:35)),))</f>
        <v>Thanh toán tiền hàng</v>
      </c>
      <c r="E48" s="44" t="str">
        <f ca="1">IF(ROWS($1:35)&gt;COUNT(Dong),"",IF(OFFSET(TH!L$1,SMALL(Dong,ROWS($1:35)),)="331",OFFSET(TH!M$1,SMALL(Dong,ROWS($1:35)),),OFFSET(TH!L$1,SMALL(Dong,ROWS($1:35)),)))</f>
        <v>1111</v>
      </c>
      <c r="F48" s="44"/>
      <c r="G48" s="56">
        <f ca="1">IF(ROWS($1:35)&gt;COUNT(Dong),"",IF(OFFSET(TH!L$1,SMALL(Dong,ROWS($1:35)),)="331",OFFSET(TH!K$1,SMALL(Dong,ROWS($1:35)),),0))</f>
        <v>14025000</v>
      </c>
      <c r="H48" s="56">
        <f ca="1">IF(ROWS($1:35)&gt;COUNT(Dong),"",IF(OFFSET(TH!M$1,SMALL(Dong,ROWS($1:35)),)="331",OFFSET(TH!K$1,SMALL(Dong,ROWS($1:35)),),0))</f>
        <v>0</v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>
        <f ca="1">IF(ROWS($1:36)&gt;COUNT(Dong),"",OFFSET(TH!C$1,SMALL(Dong,ROWS($1:36)),))</f>
        <v>41215</v>
      </c>
      <c r="B49" s="9" t="str">
        <f ca="1">IF(ROWS($1:36)&gt;COUNT(Dong),"",OFFSET(TH!D$1,SMALL(Dong,ROWS($1:36)),))</f>
        <v>N07</v>
      </c>
      <c r="C49" s="9">
        <f ca="1">IF(ROWS($1:36)&gt;COUNT(Dong),"",OFFSET(TH!E$1,SMALL(Dong,ROWS($1:36)),))</f>
        <v>41215</v>
      </c>
      <c r="D49" s="215" t="str">
        <f ca="1">IF(ROWS($1:36)&gt;COUNT(Dong),"",OFFSET(TH!F$1,SMALL(Dong,ROWS($1:36)),))</f>
        <v>Giấy tấm 1N +2X (110x151)</v>
      </c>
      <c r="E49" s="44" t="str">
        <f ca="1">IF(ROWS($1:36)&gt;COUNT(Dong),"",IF(OFFSET(TH!L$1,SMALL(Dong,ROWS($1:36)),)="331",OFFSET(TH!M$1,SMALL(Dong,ROWS($1:36)),),OFFSET(TH!L$1,SMALL(Dong,ROWS($1:36)),)))</f>
        <v>156</v>
      </c>
      <c r="F49" s="44"/>
      <c r="G49" s="56">
        <f ca="1">IF(ROWS($1:36)&gt;COUNT(Dong),"",IF(OFFSET(TH!L$1,SMALL(Dong,ROWS($1:36)),)="331",OFFSET(TH!K$1,SMALL(Dong,ROWS($1:36)),),0))</f>
        <v>0</v>
      </c>
      <c r="H49" s="56">
        <f ca="1">IF(ROWS($1:36)&gt;COUNT(Dong),"",IF(OFFSET(TH!M$1,SMALL(Dong,ROWS($1:36)),)="331",OFFSET(TH!K$1,SMALL(Dong,ROWS($1:36)),),0))</f>
        <v>5149000</v>
      </c>
      <c r="I49" s="25">
        <f t="shared" ca="1" si="6"/>
        <v>0</v>
      </c>
      <c r="J49" s="25">
        <f t="shared" ca="1" si="7"/>
        <v>5149000</v>
      </c>
    </row>
    <row r="50" spans="1:11" s="18" customFormat="1" ht="18" customHeight="1">
      <c r="A50" s="9"/>
      <c r="B50" s="9"/>
      <c r="C50" s="9"/>
      <c r="D50" s="215"/>
      <c r="E50" s="44"/>
      <c r="F50" s="44"/>
      <c r="G50" s="56"/>
      <c r="H50" s="56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105120048</v>
      </c>
      <c r="H51" s="27">
        <f ca="1">SUM(H14:H50)</f>
        <v>110269048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5149000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01" t="str">
        <f ca="1">"Ngày 31 tháng  12  năm  "&amp;YEAR($A$14)</f>
        <v>Ngày 31 tháng  12  năm  2012</v>
      </c>
      <c r="F56" s="901"/>
      <c r="G56" s="901"/>
      <c r="H56" s="901"/>
      <c r="I56" s="901"/>
      <c r="J56" s="901"/>
    </row>
    <row r="57" spans="1:11" s="18" customFormat="1" ht="14.25" customHeight="1">
      <c r="C57" s="203" t="s">
        <v>11</v>
      </c>
      <c r="E57" s="901" t="s">
        <v>12</v>
      </c>
      <c r="F57" s="901"/>
      <c r="G57" s="901"/>
      <c r="H57" s="901"/>
      <c r="I57" s="901"/>
      <c r="J57" s="901"/>
    </row>
    <row r="58" spans="1:11" s="18" customFormat="1" ht="14.25" customHeight="1">
      <c r="C58" s="203" t="s">
        <v>13</v>
      </c>
      <c r="E58" s="901" t="s">
        <v>13</v>
      </c>
      <c r="F58" s="901"/>
      <c r="G58" s="901"/>
      <c r="H58" s="901"/>
      <c r="I58" s="901"/>
      <c r="J58" s="901"/>
    </row>
    <row r="59" spans="1:11" s="29" customFormat="1"/>
    <row r="65" spans="3:3" ht="15">
      <c r="C65" s="21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3" sqref="A3:D3"/>
    </sheetView>
  </sheetViews>
  <sheetFormatPr defaultRowHeight="15"/>
  <cols>
    <col min="1" max="1" width="9.7109375" style="255" customWidth="1"/>
    <col min="2" max="2" width="7" style="255" customWidth="1"/>
    <col min="3" max="3" width="9.140625" style="255"/>
    <col min="4" max="4" width="40.140625" style="255" customWidth="1"/>
    <col min="5" max="5" width="6.5703125" style="255" customWidth="1"/>
    <col min="6" max="8" width="10" style="255" customWidth="1"/>
    <col min="9" max="9" width="13.7109375" style="255" customWidth="1"/>
    <col min="10" max="10" width="10" style="255" customWidth="1"/>
    <col min="11" max="11" width="8.7109375" style="255" customWidth="1"/>
    <col min="12" max="12" width="15" style="255" customWidth="1"/>
    <col min="13" max="13" width="10" style="255" customWidth="1"/>
    <col min="14" max="14" width="9.42578125" style="255" customWidth="1"/>
    <col min="15" max="16384" width="9.140625" style="255"/>
  </cols>
  <sheetData>
    <row r="2" spans="1:14">
      <c r="A2" s="836" t="str">
        <f>TH!$A$1</f>
        <v>Đơn vị: CÔNG TY TNHH MỘT THÀNH VIÊN KHỞI NGUYÊN AN</v>
      </c>
      <c r="C2" s="256"/>
      <c r="F2" s="257"/>
      <c r="G2" s="257"/>
      <c r="H2" s="257"/>
      <c r="I2" s="257"/>
      <c r="J2" s="953" t="s">
        <v>182</v>
      </c>
      <c r="K2" s="953"/>
      <c r="L2" s="953"/>
      <c r="M2" s="953"/>
      <c r="N2" s="257"/>
    </row>
    <row r="3" spans="1:14">
      <c r="A3" s="837" t="str">
        <f>TH!$A$2</f>
        <v>Địa chỉ: Thửa đất số 144, tờ bản đồ số 12TĐH.1, tổ 1, khu phố Đông Tác, Phường Tân Đông Hiệp, Thị Xã Dĩ An, Tỉnh Bình Dương, Việt Nam</v>
      </c>
      <c r="C3" s="256"/>
      <c r="F3" s="258"/>
      <c r="G3" s="258"/>
      <c r="H3" s="258"/>
      <c r="I3" s="258"/>
      <c r="J3" s="952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2"/>
      <c r="L3" s="952"/>
      <c r="M3" s="952"/>
      <c r="N3" s="258"/>
    </row>
    <row r="4" spans="1:14">
      <c r="F4" s="258"/>
      <c r="G4" s="258"/>
      <c r="H4" s="258"/>
      <c r="I4" s="258"/>
      <c r="J4" s="952"/>
      <c r="K4" s="952"/>
      <c r="L4" s="952"/>
      <c r="M4" s="952"/>
      <c r="N4" s="258"/>
    </row>
    <row r="5" spans="1:14" s="259" customFormat="1" ht="23.25" customHeight="1">
      <c r="A5" s="962" t="s">
        <v>183</v>
      </c>
      <c r="B5" s="962"/>
      <c r="C5" s="962"/>
      <c r="D5" s="962"/>
      <c r="E5" s="962"/>
      <c r="F5" s="962"/>
      <c r="G5" s="962"/>
      <c r="H5" s="962"/>
      <c r="I5" s="962"/>
      <c r="J5" s="962"/>
      <c r="K5" s="962"/>
      <c r="L5" s="962"/>
      <c r="M5" s="962"/>
      <c r="N5" s="962"/>
    </row>
    <row r="6" spans="1:14">
      <c r="A6" s="953" t="s">
        <v>587</v>
      </c>
      <c r="B6" s="953" t="s">
        <v>184</v>
      </c>
      <c r="C6" s="953"/>
      <c r="D6" s="953"/>
      <c r="E6" s="953"/>
      <c r="F6" s="953"/>
      <c r="G6" s="953"/>
      <c r="H6" s="953"/>
      <c r="I6" s="953"/>
      <c r="J6" s="953"/>
      <c r="K6" s="953"/>
      <c r="L6" s="953"/>
      <c r="M6" s="953"/>
      <c r="N6" s="953"/>
    </row>
    <row r="7" spans="1:14">
      <c r="C7" s="963"/>
      <c r="D7" s="963"/>
      <c r="E7" s="963"/>
      <c r="F7" s="963"/>
      <c r="G7" s="963"/>
      <c r="H7" s="963"/>
      <c r="I7" s="963"/>
      <c r="J7" s="963"/>
      <c r="K7" s="963"/>
      <c r="L7" s="963"/>
      <c r="M7" s="963"/>
      <c r="N7" s="963"/>
    </row>
    <row r="8" spans="1:14" ht="15.75" customHeight="1">
      <c r="A8" s="956" t="s">
        <v>20</v>
      </c>
      <c r="B8" s="964" t="s">
        <v>1</v>
      </c>
      <c r="C8" s="965"/>
      <c r="D8" s="956" t="s">
        <v>0</v>
      </c>
      <c r="E8" s="956" t="s">
        <v>14</v>
      </c>
      <c r="F8" s="955" t="s">
        <v>21</v>
      </c>
      <c r="G8" s="955"/>
      <c r="H8" s="955"/>
      <c r="I8" s="955"/>
      <c r="J8" s="955"/>
      <c r="K8" s="955"/>
      <c r="L8" s="955" t="s">
        <v>31</v>
      </c>
      <c r="M8" s="955"/>
      <c r="N8" s="955"/>
    </row>
    <row r="9" spans="1:14" ht="15.75" customHeight="1">
      <c r="A9" s="956"/>
      <c r="B9" s="966"/>
      <c r="C9" s="967"/>
      <c r="D9" s="956"/>
      <c r="E9" s="956"/>
      <c r="F9" s="955" t="s">
        <v>185</v>
      </c>
      <c r="G9" s="955"/>
      <c r="H9" s="955"/>
      <c r="I9" s="955" t="s">
        <v>186</v>
      </c>
      <c r="J9" s="955"/>
      <c r="K9" s="955"/>
      <c r="L9" s="956" t="s">
        <v>187</v>
      </c>
      <c r="M9" s="956" t="s">
        <v>188</v>
      </c>
      <c r="N9" s="956" t="s">
        <v>189</v>
      </c>
    </row>
    <row r="10" spans="1:14" ht="15.75" customHeight="1">
      <c r="A10" s="956"/>
      <c r="B10" s="958" t="s">
        <v>15</v>
      </c>
      <c r="C10" s="958" t="s">
        <v>32</v>
      </c>
      <c r="D10" s="956"/>
      <c r="E10" s="956"/>
      <c r="F10" s="960" t="s">
        <v>187</v>
      </c>
      <c r="G10" s="960" t="s">
        <v>188</v>
      </c>
      <c r="H10" s="960" t="s">
        <v>189</v>
      </c>
      <c r="I10" s="960" t="s">
        <v>187</v>
      </c>
      <c r="J10" s="960" t="s">
        <v>188</v>
      </c>
      <c r="K10" s="960" t="s">
        <v>189</v>
      </c>
      <c r="L10" s="957"/>
      <c r="M10" s="957"/>
      <c r="N10" s="957"/>
    </row>
    <row r="11" spans="1:14">
      <c r="A11" s="956"/>
      <c r="B11" s="959"/>
      <c r="C11" s="959"/>
      <c r="D11" s="956"/>
      <c r="E11" s="956"/>
      <c r="F11" s="961"/>
      <c r="G11" s="961"/>
      <c r="H11" s="961"/>
      <c r="I11" s="961"/>
      <c r="J11" s="961"/>
      <c r="K11" s="961"/>
      <c r="L11" s="957"/>
      <c r="M11" s="957"/>
      <c r="N11" s="957"/>
    </row>
    <row r="12" spans="1:14" s="258" customFormat="1">
      <c r="A12" s="260" t="s">
        <v>2</v>
      </c>
      <c r="B12" s="261" t="s">
        <v>3</v>
      </c>
      <c r="C12" s="260" t="s">
        <v>4</v>
      </c>
      <c r="D12" s="260" t="s">
        <v>5</v>
      </c>
      <c r="E12" s="260" t="s">
        <v>6</v>
      </c>
      <c r="F12" s="260">
        <v>1</v>
      </c>
      <c r="G12" s="260"/>
      <c r="H12" s="260"/>
      <c r="I12" s="260"/>
      <c r="J12" s="260"/>
      <c r="K12" s="260"/>
      <c r="L12" s="260"/>
      <c r="M12" s="260"/>
      <c r="N12" s="260"/>
    </row>
    <row r="13" spans="1:14">
      <c r="A13" s="262"/>
      <c r="B13" s="262"/>
      <c r="C13" s="841"/>
      <c r="D13" s="263" t="s">
        <v>7</v>
      </c>
      <c r="E13" s="262"/>
      <c r="F13" s="262"/>
      <c r="G13" s="262"/>
      <c r="H13" s="262"/>
      <c r="I13" s="262"/>
      <c r="J13" s="262"/>
      <c r="K13" s="262"/>
      <c r="L13" s="264">
        <f>CDPS!$D$47</f>
        <v>0</v>
      </c>
      <c r="M13" s="262"/>
      <c r="N13" s="262"/>
    </row>
    <row r="14" spans="1:14">
      <c r="A14" s="840">
        <v>40634</v>
      </c>
      <c r="B14" s="720" t="s">
        <v>376</v>
      </c>
      <c r="C14" s="840">
        <v>40634</v>
      </c>
      <c r="D14" s="265" t="s">
        <v>482</v>
      </c>
      <c r="E14" s="720" t="s">
        <v>47</v>
      </c>
      <c r="F14" s="265"/>
      <c r="G14" s="265"/>
      <c r="H14" s="265"/>
      <c r="I14" s="334">
        <v>1700000000</v>
      </c>
      <c r="J14" s="265"/>
      <c r="K14" s="265"/>
      <c r="L14" s="723">
        <f>L13+I14-G14</f>
        <v>1700000000</v>
      </c>
      <c r="M14" s="265"/>
      <c r="N14" s="265"/>
    </row>
    <row r="15" spans="1:14">
      <c r="A15" s="840">
        <v>40634</v>
      </c>
      <c r="B15" s="720" t="s">
        <v>377</v>
      </c>
      <c r="C15" s="840">
        <v>40634</v>
      </c>
      <c r="D15" s="266" t="s">
        <v>483</v>
      </c>
      <c r="E15" s="721" t="s">
        <v>47</v>
      </c>
      <c r="F15" s="266"/>
      <c r="G15" s="266"/>
      <c r="H15" s="266"/>
      <c r="I15" s="349">
        <v>100000000</v>
      </c>
      <c r="J15" s="266"/>
      <c r="K15" s="266"/>
      <c r="L15" s="723">
        <f t="shared" ref="L15:L16" si="0">L14+I15-G15</f>
        <v>1800000000</v>
      </c>
      <c r="M15" s="266"/>
      <c r="N15" s="266"/>
    </row>
    <row r="16" spans="1:14">
      <c r="A16" s="840">
        <v>40634</v>
      </c>
      <c r="B16" s="720" t="s">
        <v>415</v>
      </c>
      <c r="C16" s="840">
        <v>40634</v>
      </c>
      <c r="D16" s="266" t="s">
        <v>484</v>
      </c>
      <c r="E16" s="721" t="s">
        <v>47</v>
      </c>
      <c r="F16" s="266"/>
      <c r="G16" s="266"/>
      <c r="H16" s="266"/>
      <c r="I16" s="349">
        <v>100000000</v>
      </c>
      <c r="J16" s="266"/>
      <c r="K16" s="266"/>
      <c r="L16" s="723">
        <f t="shared" si="0"/>
        <v>1900000000</v>
      </c>
      <c r="M16" s="266"/>
      <c r="N16" s="266"/>
    </row>
    <row r="17" spans="1:14">
      <c r="A17" s="720"/>
      <c r="B17" s="265"/>
      <c r="C17" s="720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</row>
    <row r="18" spans="1:14">
      <c r="A18" s="720"/>
      <c r="B18" s="265"/>
      <c r="C18" s="720"/>
      <c r="D18" s="267" t="s">
        <v>133</v>
      </c>
      <c r="E18" s="479" t="s">
        <v>19</v>
      </c>
      <c r="F18" s="268"/>
      <c r="G18" s="268"/>
      <c r="H18" s="268"/>
      <c r="I18" s="722">
        <f>SUM(I13:I17)</f>
        <v>1900000000</v>
      </c>
      <c r="J18" s="268"/>
      <c r="K18" s="268"/>
      <c r="L18" s="724">
        <f>L13+I18-F18</f>
        <v>1900000000</v>
      </c>
      <c r="M18" s="268"/>
      <c r="N18" s="268"/>
    </row>
    <row r="19" spans="1:14">
      <c r="A19" s="269"/>
      <c r="B19" s="269"/>
      <c r="C19" s="269"/>
      <c r="D19" s="270" t="s">
        <v>10</v>
      </c>
      <c r="E19" s="480" t="s">
        <v>19</v>
      </c>
      <c r="F19" s="269"/>
      <c r="G19" s="269"/>
      <c r="H19" s="269"/>
      <c r="I19" s="269"/>
      <c r="J19" s="269"/>
      <c r="K19" s="269"/>
      <c r="L19" s="271">
        <f>L13+L18</f>
        <v>1900000000</v>
      </c>
      <c r="M19" s="269"/>
      <c r="N19" s="269"/>
    </row>
    <row r="21" spans="1:14">
      <c r="C21" s="272" t="s">
        <v>190</v>
      </c>
    </row>
    <row r="22" spans="1:14">
      <c r="C22" s="176" t="str">
        <f>"- Ngày mở sổ: "&amp;DAY($A$15)&amp;"/"&amp;MONTH($A$15)&amp;"/ " &amp;YEAR($A$15)</f>
        <v>- Ngày mở sổ: 1/4/ 2011</v>
      </c>
    </row>
    <row r="23" spans="1:14">
      <c r="B23" s="273"/>
      <c r="C23" s="273"/>
      <c r="D23" s="273"/>
      <c r="E23" s="954" t="str">
        <f>"Ngày 31 tháng  12  năm  "&amp;YEAR($A$14)</f>
        <v>Ngày 31 tháng  12  năm  2011</v>
      </c>
      <c r="F23" s="954"/>
      <c r="G23" s="954"/>
      <c r="H23" s="954"/>
      <c r="I23" s="954"/>
      <c r="J23" s="954"/>
      <c r="K23" s="954"/>
      <c r="L23" s="954"/>
      <c r="M23" s="954"/>
      <c r="N23" s="954"/>
    </row>
    <row r="24" spans="1:14">
      <c r="A24" s="954" t="s">
        <v>11</v>
      </c>
      <c r="B24" s="954"/>
      <c r="C24" s="954"/>
      <c r="D24" s="954"/>
      <c r="E24" s="954" t="s">
        <v>12</v>
      </c>
      <c r="F24" s="954"/>
      <c r="G24" s="954"/>
      <c r="H24" s="954"/>
      <c r="I24" s="954"/>
      <c r="J24" s="954"/>
      <c r="K24" s="954"/>
      <c r="L24" s="954"/>
      <c r="M24" s="954"/>
      <c r="N24" s="954"/>
    </row>
    <row r="25" spans="1:14">
      <c r="A25" s="954" t="s">
        <v>13</v>
      </c>
      <c r="B25" s="954"/>
      <c r="C25" s="954"/>
      <c r="D25" s="954"/>
      <c r="E25" s="954" t="s">
        <v>13</v>
      </c>
      <c r="F25" s="954"/>
      <c r="G25" s="954"/>
      <c r="H25" s="954"/>
      <c r="I25" s="954"/>
      <c r="J25" s="954"/>
      <c r="K25" s="954"/>
      <c r="L25" s="954"/>
      <c r="M25" s="954"/>
      <c r="N25" s="954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134"/>
  <sheetViews>
    <sheetView topLeftCell="A8" workbookViewId="0">
      <pane ySplit="4" topLeftCell="A18" activePane="bottomLeft" state="frozen"/>
      <selection activeCell="A8" sqref="A8"/>
      <selection pane="bottomLeft" activeCell="F94" sqref="F94"/>
    </sheetView>
  </sheetViews>
  <sheetFormatPr defaultRowHeight="12.75"/>
  <cols>
    <col min="1" max="1" width="3.7109375" style="279" customWidth="1"/>
    <col min="2" max="2" width="3.42578125" style="279" customWidth="1"/>
    <col min="3" max="3" width="34" style="279" customWidth="1"/>
    <col min="4" max="4" width="7.7109375" style="282" customWidth="1"/>
    <col min="5" max="5" width="6.7109375" style="293" customWidth="1"/>
    <col min="6" max="6" width="7.5703125" style="293" customWidth="1"/>
    <col min="7" max="7" width="8" style="284" customWidth="1"/>
    <col min="8" max="8" width="12.140625" style="284" customWidth="1"/>
    <col min="9" max="9" width="7.85546875" style="284" customWidth="1"/>
    <col min="10" max="10" width="11.7109375" style="284" customWidth="1"/>
    <col min="11" max="11" width="7.85546875" style="284" customWidth="1"/>
    <col min="12" max="12" width="13" style="284" customWidth="1"/>
    <col min="13" max="13" width="9" style="279" customWidth="1"/>
    <col min="14" max="14" width="11.140625" style="284" bestFit="1" customWidth="1"/>
    <col min="15" max="16384" width="9.140625" style="279"/>
  </cols>
  <sheetData>
    <row r="1" spans="1:14" s="254" customFormat="1" ht="14.25" customHeight="1">
      <c r="B1" s="836" t="str">
        <f>TH!$A$1</f>
        <v>Đơn vị: CÔNG TY TNHH MỘT THÀNH VIÊN KHỞI NGUYÊN AN</v>
      </c>
      <c r="C1" s="274"/>
      <c r="D1" s="274"/>
      <c r="E1" s="274"/>
      <c r="F1" s="275"/>
      <c r="G1" s="275"/>
      <c r="H1" s="946" t="s">
        <v>191</v>
      </c>
      <c r="I1" s="946"/>
      <c r="J1" s="946"/>
      <c r="K1" s="946"/>
      <c r="L1" s="946"/>
      <c r="M1" s="725"/>
      <c r="N1" s="726"/>
    </row>
    <row r="2" spans="1:14" s="254" customFormat="1" ht="14.25" customHeight="1">
      <c r="B2" s="837" t="str">
        <f>TH!$A$2</f>
        <v>Địa chỉ: Thửa đất số 144, tờ bản đồ số 12TĐH.1, tổ 1, khu phố Đông Tác, Phường Tân Đông Hiệp, Thị Xã Dĩ An, Tỉnh Bình Dương, Việt Nam</v>
      </c>
      <c r="C2" s="276"/>
      <c r="D2" s="276"/>
      <c r="E2" s="276"/>
      <c r="F2" s="276"/>
      <c r="G2" s="276"/>
      <c r="H2" s="947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47"/>
      <c r="J2" s="947"/>
      <c r="K2" s="947"/>
      <c r="L2" s="947"/>
      <c r="M2" s="731"/>
      <c r="N2" s="726"/>
    </row>
    <row r="3" spans="1:14" s="254" customFormat="1" ht="14.25" customHeight="1">
      <c r="B3" s="276"/>
      <c r="C3" s="276"/>
      <c r="D3" s="276"/>
      <c r="E3" s="276"/>
      <c r="F3" s="276"/>
      <c r="G3" s="276"/>
      <c r="H3" s="947"/>
      <c r="I3" s="947"/>
      <c r="J3" s="947"/>
      <c r="K3" s="947"/>
      <c r="L3" s="947"/>
      <c r="M3" s="732"/>
      <c r="N3" s="726"/>
    </row>
    <row r="4" spans="1:14" s="277" customFormat="1" ht="27.75" customHeight="1">
      <c r="B4" s="969" t="s">
        <v>192</v>
      </c>
      <c r="C4" s="969"/>
      <c r="D4" s="969"/>
      <c r="E4" s="969"/>
      <c r="F4" s="969"/>
      <c r="G4" s="969"/>
      <c r="H4" s="969"/>
      <c r="I4" s="969"/>
      <c r="J4" s="969"/>
      <c r="K4" s="969"/>
      <c r="L4" s="969"/>
      <c r="N4" s="727"/>
    </row>
    <row r="5" spans="1:14" s="277" customFormat="1" ht="15" customHeight="1">
      <c r="B5" s="968" t="s">
        <v>193</v>
      </c>
      <c r="C5" s="968"/>
      <c r="D5" s="968"/>
      <c r="E5" s="968"/>
      <c r="F5" s="968"/>
      <c r="G5" s="968"/>
      <c r="H5" s="968"/>
      <c r="I5" s="968"/>
      <c r="J5" s="968"/>
      <c r="K5" s="968"/>
      <c r="L5" s="968"/>
      <c r="N5" s="727"/>
    </row>
    <row r="6" spans="1:14" s="277" customFormat="1" ht="12.75" hidden="1" customHeight="1">
      <c r="B6" s="968" t="s">
        <v>194</v>
      </c>
      <c r="C6" s="968"/>
      <c r="D6" s="968"/>
      <c r="E6" s="968"/>
      <c r="F6" s="968"/>
      <c r="G6" s="968"/>
      <c r="H6" s="968"/>
      <c r="I6" s="968"/>
      <c r="J6" s="968"/>
      <c r="K6" s="968"/>
      <c r="L6" s="968"/>
      <c r="N6" s="727"/>
    </row>
    <row r="7" spans="1:14" s="278" customFormat="1" ht="24" hidden="1" customHeight="1">
      <c r="C7" s="976" t="s">
        <v>195</v>
      </c>
      <c r="D7" s="976"/>
      <c r="E7" s="976"/>
      <c r="F7" s="976"/>
      <c r="G7" s="976"/>
      <c r="H7" s="976"/>
      <c r="I7" s="976"/>
      <c r="J7" s="976"/>
      <c r="K7" s="976"/>
      <c r="L7" s="976"/>
      <c r="N7" s="728"/>
    </row>
    <row r="8" spans="1:14" ht="20.25" customHeight="1">
      <c r="B8" s="970" t="s">
        <v>35</v>
      </c>
      <c r="C8" s="971" t="s">
        <v>196</v>
      </c>
      <c r="D8" s="972" t="s">
        <v>197</v>
      </c>
      <c r="E8" s="974" t="s">
        <v>139</v>
      </c>
      <c r="F8" s="974"/>
      <c r="G8" s="974"/>
      <c r="H8" s="974"/>
      <c r="I8" s="974"/>
      <c r="J8" s="974"/>
      <c r="K8" s="974"/>
      <c r="L8" s="974"/>
    </row>
    <row r="9" spans="1:14" ht="20.25" customHeight="1">
      <c r="B9" s="970"/>
      <c r="C9" s="971"/>
      <c r="D9" s="973"/>
      <c r="E9" s="974" t="s">
        <v>198</v>
      </c>
      <c r="F9" s="974"/>
      <c r="G9" s="975" t="s">
        <v>199</v>
      </c>
      <c r="H9" s="975"/>
      <c r="I9" s="975" t="s">
        <v>200</v>
      </c>
      <c r="J9" s="975"/>
      <c r="K9" s="975" t="s">
        <v>201</v>
      </c>
      <c r="L9" s="975"/>
    </row>
    <row r="10" spans="1:14" ht="20.25" hidden="1" customHeight="1">
      <c r="B10" s="970"/>
      <c r="C10" s="971"/>
      <c r="D10" s="280"/>
      <c r="E10" s="281" t="s">
        <v>202</v>
      </c>
      <c r="F10" s="281" t="s">
        <v>203</v>
      </c>
      <c r="G10" s="281" t="s">
        <v>202</v>
      </c>
      <c r="H10" s="281" t="s">
        <v>203</v>
      </c>
      <c r="I10" s="281" t="s">
        <v>202</v>
      </c>
      <c r="J10" s="281" t="s">
        <v>203</v>
      </c>
      <c r="K10" s="281" t="s">
        <v>202</v>
      </c>
      <c r="L10" s="281" t="s">
        <v>203</v>
      </c>
    </row>
    <row r="11" spans="1:14" s="282" customFormat="1">
      <c r="B11" s="283" t="s">
        <v>2</v>
      </c>
      <c r="C11" s="280" t="s">
        <v>3</v>
      </c>
      <c r="D11" s="280"/>
      <c r="E11" s="281">
        <v>1</v>
      </c>
      <c r="F11" s="281">
        <v>1</v>
      </c>
      <c r="G11" s="281">
        <v>2</v>
      </c>
      <c r="H11" s="281">
        <v>2</v>
      </c>
      <c r="I11" s="281">
        <v>3</v>
      </c>
      <c r="J11" s="281">
        <v>3</v>
      </c>
      <c r="K11" s="281">
        <v>4</v>
      </c>
      <c r="L11" s="281">
        <v>4</v>
      </c>
      <c r="N11" s="729"/>
    </row>
    <row r="12" spans="1:14" ht="18.75" customHeight="1">
      <c r="A12" s="284" t="str">
        <f t="shared" ref="A12:A32" si="0">IF(B12&lt;&gt;"","NL","")</f>
        <v>NL</v>
      </c>
      <c r="B12" s="780">
        <f t="shared" ref="B12:B32" si="1">IF(C12&lt;&gt;"",ROW()-11,"")</f>
        <v>1</v>
      </c>
      <c r="C12" s="810" t="s">
        <v>657</v>
      </c>
      <c r="D12" s="286" t="s">
        <v>370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0</v>
      </c>
      <c r="J12" s="25">
        <f t="array" ref="J12">SUM(IF("156"&amp;C12=KHC&amp;MH,TH))</f>
        <v>0</v>
      </c>
      <c r="K12" s="25">
        <f t="shared" ref="K12:K32" si="2">E12+G12-I12</f>
        <v>1000</v>
      </c>
      <c r="L12" s="25">
        <f t="shared" ref="L12:L32" si="3">F12+H12-J12</f>
        <v>12319000</v>
      </c>
      <c r="M12" s="284"/>
    </row>
    <row r="13" spans="1:14" ht="18.75" customHeight="1">
      <c r="A13" s="284" t="str">
        <f t="shared" si="0"/>
        <v>NL</v>
      </c>
      <c r="B13" s="780">
        <f t="shared" si="1"/>
        <v>2</v>
      </c>
      <c r="C13" s="811" t="s">
        <v>709</v>
      </c>
      <c r="D13" s="286" t="s">
        <v>370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0</v>
      </c>
      <c r="J13" s="25">
        <f t="array" ref="J13">SUM(IF("156"&amp;C13=KHC&amp;MH,TH))</f>
        <v>0</v>
      </c>
      <c r="K13" s="25">
        <f t="shared" si="2"/>
        <v>750</v>
      </c>
      <c r="L13" s="25">
        <f t="shared" si="3"/>
        <v>7254000</v>
      </c>
      <c r="M13" s="284"/>
    </row>
    <row r="14" spans="1:14" ht="18.75" customHeight="1">
      <c r="A14" s="284" t="str">
        <f t="shared" si="0"/>
        <v>NL</v>
      </c>
      <c r="B14" s="780">
        <f t="shared" si="1"/>
        <v>3</v>
      </c>
      <c r="C14" s="811" t="s">
        <v>664</v>
      </c>
      <c r="D14" s="286" t="s">
        <v>370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0</v>
      </c>
      <c r="J14" s="25">
        <f t="array" ref="J14">SUM(IF("156"&amp;C14=KHC&amp;MH,TH))</f>
        <v>0</v>
      </c>
      <c r="K14" s="25">
        <f t="shared" si="2"/>
        <v>2000</v>
      </c>
      <c r="L14" s="25">
        <f t="shared" si="3"/>
        <v>20572000</v>
      </c>
      <c r="M14" s="284"/>
    </row>
    <row r="15" spans="1:14" ht="18.75" customHeight="1">
      <c r="A15" s="284" t="str">
        <f t="shared" si="0"/>
        <v>NL</v>
      </c>
      <c r="B15" s="780">
        <f t="shared" si="1"/>
        <v>4</v>
      </c>
      <c r="C15" s="285" t="s">
        <v>637</v>
      </c>
      <c r="D15" s="286" t="s">
        <v>370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500</v>
      </c>
      <c r="L15" s="25">
        <f t="shared" si="3"/>
        <v>5143000</v>
      </c>
      <c r="M15" s="284"/>
    </row>
    <row r="16" spans="1:14" ht="18.75" customHeight="1">
      <c r="A16" s="284" t="str">
        <f t="shared" si="0"/>
        <v>NL</v>
      </c>
      <c r="B16" s="780">
        <f t="shared" si="1"/>
        <v>5</v>
      </c>
      <c r="C16" s="285" t="s">
        <v>691</v>
      </c>
      <c r="D16" s="286" t="s">
        <v>370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175</v>
      </c>
      <c r="L16" s="25">
        <f t="shared" si="3"/>
        <v>1845550</v>
      </c>
      <c r="M16" s="284"/>
    </row>
    <row r="17" spans="1:13" ht="18.75" customHeight="1">
      <c r="A17" s="284" t="str">
        <f t="shared" si="0"/>
        <v>NL</v>
      </c>
      <c r="B17" s="780">
        <f t="shared" si="1"/>
        <v>6</v>
      </c>
      <c r="C17" s="811" t="s">
        <v>696</v>
      </c>
      <c r="D17" s="286" t="s">
        <v>370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0</v>
      </c>
      <c r="J17" s="25">
        <f t="array" ref="J17">SUM(IF("156"&amp;C17=KHC&amp;MH,TH))</f>
        <v>0</v>
      </c>
      <c r="K17" s="25">
        <f t="shared" si="2"/>
        <v>150</v>
      </c>
      <c r="L17" s="25">
        <f t="shared" si="3"/>
        <v>1534500</v>
      </c>
      <c r="M17" s="284"/>
    </row>
    <row r="18" spans="1:13" ht="18.75" customHeight="1">
      <c r="A18" s="284" t="str">
        <f t="shared" si="0"/>
        <v>NL</v>
      </c>
      <c r="B18" s="780">
        <f t="shared" si="1"/>
        <v>7</v>
      </c>
      <c r="C18" s="285" t="s">
        <v>641</v>
      </c>
      <c r="D18" s="286" t="s">
        <v>370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0</v>
      </c>
      <c r="J18" s="25">
        <f t="array" ref="J18">SUM(IF("156"&amp;C18=KHC&amp;MH,TH))</f>
        <v>0</v>
      </c>
      <c r="K18" s="25">
        <f t="shared" si="2"/>
        <v>2050</v>
      </c>
      <c r="L18" s="25">
        <f t="shared" si="3"/>
        <v>21110900</v>
      </c>
      <c r="M18" s="284"/>
    </row>
    <row r="19" spans="1:13" ht="18.75" customHeight="1">
      <c r="A19" s="284" t="str">
        <f t="shared" si="0"/>
        <v>NL</v>
      </c>
      <c r="B19" s="780">
        <f t="shared" si="1"/>
        <v>8</v>
      </c>
      <c r="C19" s="285" t="s">
        <v>636</v>
      </c>
      <c r="D19" s="286" t="s">
        <v>370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600</v>
      </c>
      <c r="L19" s="25">
        <f t="shared" si="3"/>
        <v>6506400</v>
      </c>
      <c r="M19" s="284"/>
    </row>
    <row r="20" spans="1:13" ht="18.75" customHeight="1">
      <c r="A20" s="284" t="str">
        <f t="shared" si="0"/>
        <v>NL</v>
      </c>
      <c r="B20" s="780">
        <f t="shared" si="1"/>
        <v>9</v>
      </c>
      <c r="C20" s="285" t="s">
        <v>635</v>
      </c>
      <c r="D20" s="286" t="s">
        <v>370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600</v>
      </c>
      <c r="L20" s="25">
        <f t="shared" si="3"/>
        <v>6628800</v>
      </c>
      <c r="M20" s="284"/>
    </row>
    <row r="21" spans="1:13" ht="18.75" customHeight="1">
      <c r="A21" s="284" t="str">
        <f t="shared" si="0"/>
        <v>NL</v>
      </c>
      <c r="B21" s="780">
        <f t="shared" si="1"/>
        <v>10</v>
      </c>
      <c r="C21" s="287" t="s">
        <v>638</v>
      </c>
      <c r="D21" s="286" t="s">
        <v>370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1000</v>
      </c>
      <c r="L21" s="25">
        <f t="shared" si="3"/>
        <v>11622000</v>
      </c>
      <c r="M21" s="284"/>
    </row>
    <row r="22" spans="1:13" ht="18.75" customHeight="1">
      <c r="A22" s="284" t="str">
        <f t="shared" si="0"/>
        <v>NL</v>
      </c>
      <c r="B22" s="780">
        <f t="shared" si="1"/>
        <v>11</v>
      </c>
      <c r="C22" s="185" t="s">
        <v>693</v>
      </c>
      <c r="D22" s="286" t="s">
        <v>370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0</v>
      </c>
      <c r="J22" s="25">
        <f t="array" ref="J22">SUM(IF("156"&amp;C22=KHC&amp;MH,TH))</f>
        <v>0</v>
      </c>
      <c r="K22" s="25">
        <f t="shared" si="2"/>
        <v>800</v>
      </c>
      <c r="L22" s="25">
        <f t="shared" si="3"/>
        <v>9354400</v>
      </c>
      <c r="M22" s="284"/>
    </row>
    <row r="23" spans="1:13" ht="18.75" customHeight="1">
      <c r="A23" s="284" t="str">
        <f t="shared" si="0"/>
        <v>NL</v>
      </c>
      <c r="B23" s="780">
        <f t="shared" si="1"/>
        <v>12</v>
      </c>
      <c r="C23" s="188" t="s">
        <v>707</v>
      </c>
      <c r="D23" s="286" t="s">
        <v>370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550</v>
      </c>
      <c r="L23" s="25">
        <f t="shared" si="3"/>
        <v>6342600</v>
      </c>
      <c r="M23" s="284"/>
    </row>
    <row r="24" spans="1:13" ht="18.75" customHeight="1">
      <c r="A24" s="284" t="str">
        <f t="shared" si="0"/>
        <v>NL</v>
      </c>
      <c r="B24" s="780">
        <f t="shared" si="1"/>
        <v>13</v>
      </c>
      <c r="C24" s="287" t="s">
        <v>665</v>
      </c>
      <c r="D24" s="286" t="s">
        <v>370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0</v>
      </c>
      <c r="J24" s="25">
        <f t="array" ref="J24">SUM(IF("156"&amp;C24=KHC&amp;MH,TH))</f>
        <v>0</v>
      </c>
      <c r="K24" s="25">
        <f t="shared" si="2"/>
        <v>500</v>
      </c>
      <c r="L24" s="25">
        <f t="shared" si="3"/>
        <v>6510000</v>
      </c>
      <c r="M24" s="284"/>
    </row>
    <row r="25" spans="1:13" ht="18.75" customHeight="1">
      <c r="A25" s="284" t="str">
        <f t="shared" si="0"/>
        <v>NL</v>
      </c>
      <c r="B25" s="780">
        <f t="shared" si="1"/>
        <v>14</v>
      </c>
      <c r="C25" s="287" t="s">
        <v>642</v>
      </c>
      <c r="D25" s="286" t="s">
        <v>370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0</v>
      </c>
      <c r="J25" s="25">
        <f t="array" ref="J25">SUM(IF("156"&amp;C25=KHC&amp;MH,TH))</f>
        <v>0</v>
      </c>
      <c r="K25" s="25">
        <f t="shared" si="2"/>
        <v>1260</v>
      </c>
      <c r="L25" s="25">
        <f t="shared" si="3"/>
        <v>13677960</v>
      </c>
      <c r="M25" s="284"/>
    </row>
    <row r="26" spans="1:13" ht="18.75" customHeight="1">
      <c r="A26" s="284" t="str">
        <f t="shared" si="0"/>
        <v>NL</v>
      </c>
      <c r="B26" s="780">
        <f t="shared" si="1"/>
        <v>15</v>
      </c>
      <c r="C26" s="185" t="s">
        <v>671</v>
      </c>
      <c r="D26" s="286" t="s">
        <v>370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0</v>
      </c>
      <c r="J26" s="25">
        <f t="array" ref="J26">SUM(IF("156"&amp;C26=KHC&amp;MH,TH))</f>
        <v>0</v>
      </c>
      <c r="K26" s="25">
        <f t="shared" si="2"/>
        <v>1650</v>
      </c>
      <c r="L26" s="25">
        <f t="shared" si="3"/>
        <v>14117400</v>
      </c>
      <c r="M26" s="284"/>
    </row>
    <row r="27" spans="1:13" ht="18.75" customHeight="1">
      <c r="A27" s="284" t="str">
        <f t="shared" si="0"/>
        <v>NL</v>
      </c>
      <c r="B27" s="780">
        <f t="shared" si="1"/>
        <v>16</v>
      </c>
      <c r="C27" s="287" t="s">
        <v>649</v>
      </c>
      <c r="D27" s="286" t="s">
        <v>370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2"/>
        <v>500</v>
      </c>
      <c r="L27" s="25">
        <f t="shared" si="3"/>
        <v>5143000</v>
      </c>
      <c r="M27" s="284"/>
    </row>
    <row r="28" spans="1:13" ht="18.75" customHeight="1">
      <c r="A28" s="284" t="str">
        <f t="shared" si="0"/>
        <v>NL</v>
      </c>
      <c r="B28" s="780">
        <f t="shared" si="1"/>
        <v>17</v>
      </c>
      <c r="C28" s="188" t="s">
        <v>697</v>
      </c>
      <c r="D28" s="286" t="s">
        <v>370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502</v>
      </c>
      <c r="L28" s="25">
        <f t="shared" si="3"/>
        <v>5615372</v>
      </c>
      <c r="M28" s="284"/>
    </row>
    <row r="29" spans="1:13" ht="18.75" customHeight="1">
      <c r="A29" s="284" t="str">
        <f t="shared" si="0"/>
        <v>NL</v>
      </c>
      <c r="B29" s="780">
        <f t="shared" si="1"/>
        <v>18</v>
      </c>
      <c r="C29" s="185" t="s">
        <v>668</v>
      </c>
      <c r="D29" s="286" t="s">
        <v>370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0</v>
      </c>
      <c r="J29" s="25">
        <f t="array" ref="J29">SUM(IF("156"&amp;C29=KHC&amp;MH,TH))</f>
        <v>0</v>
      </c>
      <c r="K29" s="25">
        <f t="shared" si="2"/>
        <v>1500</v>
      </c>
      <c r="L29" s="25">
        <f t="shared" si="3"/>
        <v>19125000</v>
      </c>
      <c r="M29" s="284"/>
    </row>
    <row r="30" spans="1:13" ht="18.75" customHeight="1">
      <c r="A30" s="284" t="str">
        <f t="shared" si="0"/>
        <v>NL</v>
      </c>
      <c r="B30" s="780">
        <f t="shared" si="1"/>
        <v>19</v>
      </c>
      <c r="C30" s="188" t="s">
        <v>708</v>
      </c>
      <c r="D30" s="286" t="s">
        <v>370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500</v>
      </c>
      <c r="L30" s="25">
        <f t="shared" si="3"/>
        <v>6097000</v>
      </c>
      <c r="M30" s="284"/>
    </row>
    <row r="31" spans="1:13" ht="18.75" customHeight="1">
      <c r="A31" s="284" t="str">
        <f t="shared" si="0"/>
        <v>NL</v>
      </c>
      <c r="B31" s="780">
        <f t="shared" si="1"/>
        <v>20</v>
      </c>
      <c r="C31" s="185" t="s">
        <v>667</v>
      </c>
      <c r="D31" s="286" t="s">
        <v>370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0</v>
      </c>
      <c r="J31" s="25">
        <f t="array" ref="J31">SUM(IF("156"&amp;C31=KHC&amp;MH,TH))</f>
        <v>0</v>
      </c>
      <c r="K31" s="25">
        <f t="shared" si="2"/>
        <v>505</v>
      </c>
      <c r="L31" s="25">
        <f t="shared" si="3"/>
        <v>6122620</v>
      </c>
      <c r="M31" s="284"/>
    </row>
    <row r="32" spans="1:13" ht="18.75" customHeight="1">
      <c r="A32" s="284" t="str">
        <f t="shared" si="0"/>
        <v>NL</v>
      </c>
      <c r="B32" s="780">
        <f t="shared" si="1"/>
        <v>21</v>
      </c>
      <c r="C32" s="188" t="s">
        <v>694</v>
      </c>
      <c r="D32" s="286" t="s">
        <v>370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0</v>
      </c>
      <c r="J32" s="25">
        <f t="array" ref="J32">SUM(IF("156"&amp;C32=KHC&amp;MH,TH))</f>
        <v>0</v>
      </c>
      <c r="K32" s="25">
        <f t="shared" si="2"/>
        <v>320</v>
      </c>
      <c r="L32" s="25">
        <f t="shared" si="3"/>
        <v>6115200</v>
      </c>
      <c r="M32" s="284"/>
    </row>
    <row r="33" spans="1:13" ht="18.75" customHeight="1">
      <c r="A33" s="284" t="str">
        <f t="shared" ref="A33:A65" si="4">IF(B33&lt;&gt;"","NL","")</f>
        <v/>
      </c>
      <c r="B33" s="780" t="str">
        <f t="shared" ref="B33:B65" si="5">IF(C33&lt;&gt;"",ROW()-11,"")</f>
        <v/>
      </c>
      <c r="C33" s="185"/>
      <c r="D33" s="286" t="s">
        <v>573</v>
      </c>
      <c r="E33" s="25"/>
      <c r="F33" s="25"/>
      <c r="G33" s="25">
        <f t="array" ref="G33">SUM(IF("156"&amp;C33=KHN&amp;MH,SL))</f>
        <v>0</v>
      </c>
      <c r="H33" s="25">
        <f t="array" ref="H33">SUM(IF("156"&amp;C33=KHN&amp;MH,TH))</f>
        <v>0</v>
      </c>
      <c r="I33" s="25">
        <f t="array" ref="I33">SUM(IF("156"&amp;C33=KHC&amp;MH,SL))</f>
        <v>0</v>
      </c>
      <c r="J33" s="25">
        <f t="array" ref="J33">SUM(IF("156"&amp;C33=KHC&amp;MH,TH))</f>
        <v>0</v>
      </c>
      <c r="K33" s="25">
        <f t="shared" ref="K33:K65" si="6">E33+G33-I33</f>
        <v>0</v>
      </c>
      <c r="L33" s="25">
        <f t="shared" ref="L33:L65" si="7">F33+H33-J33</f>
        <v>0</v>
      </c>
      <c r="M33" s="284"/>
    </row>
    <row r="34" spans="1:13" ht="18.75" customHeight="1">
      <c r="A34" s="284" t="str">
        <f t="shared" si="4"/>
        <v/>
      </c>
      <c r="B34" s="780" t="str">
        <f t="shared" si="5"/>
        <v/>
      </c>
      <c r="C34" s="185"/>
      <c r="D34" s="286" t="s">
        <v>573</v>
      </c>
      <c r="E34" s="25"/>
      <c r="F34" s="25"/>
      <c r="G34" s="25">
        <f t="array" ref="G34">SUM(IF("156"&amp;C34=KHN&amp;MH,SL))</f>
        <v>0</v>
      </c>
      <c r="H34" s="25">
        <f t="array" ref="H34">SUM(IF("156"&amp;C34=KHN&amp;MH,TH))</f>
        <v>0</v>
      </c>
      <c r="I34" s="25">
        <f t="array" ref="I34">SUM(IF("156"&amp;C34=KHC&amp;MH,SL))</f>
        <v>0</v>
      </c>
      <c r="J34" s="25">
        <f t="array" ref="J34">SUM(IF("156"&amp;C34=KHC&amp;MH,TH))</f>
        <v>0</v>
      </c>
      <c r="K34" s="25">
        <f t="shared" si="6"/>
        <v>0</v>
      </c>
      <c r="L34" s="25">
        <f t="shared" si="7"/>
        <v>0</v>
      </c>
      <c r="M34" s="284"/>
    </row>
    <row r="35" spans="1:13" ht="18.75" customHeight="1">
      <c r="A35" s="284" t="str">
        <f t="shared" si="4"/>
        <v/>
      </c>
      <c r="B35" s="780" t="str">
        <f t="shared" si="5"/>
        <v/>
      </c>
      <c r="C35" s="185"/>
      <c r="D35" s="286" t="s">
        <v>573</v>
      </c>
      <c r="E35" s="25"/>
      <c r="F35" s="25"/>
      <c r="G35" s="25">
        <f t="array" ref="G35">SUM(IF("156"&amp;C35=KHN&amp;MH,SL))</f>
        <v>0</v>
      </c>
      <c r="H35" s="25">
        <f t="array" ref="H35">SUM(IF("156"&amp;C35=KHN&amp;MH,TH))</f>
        <v>0</v>
      </c>
      <c r="I35" s="25">
        <f t="array" ref="I35">SUM(IF("156"&amp;C35=KHC&amp;MH,SL))</f>
        <v>0</v>
      </c>
      <c r="J35" s="25">
        <f t="array" ref="J35">SUM(IF("156"&amp;C35=KHC&amp;MH,TH))</f>
        <v>0</v>
      </c>
      <c r="K35" s="25">
        <f t="shared" si="6"/>
        <v>0</v>
      </c>
      <c r="L35" s="25">
        <f t="shared" si="7"/>
        <v>0</v>
      </c>
      <c r="M35" s="284"/>
    </row>
    <row r="36" spans="1:13" ht="18.75" customHeight="1">
      <c r="A36" s="284" t="str">
        <f t="shared" si="4"/>
        <v/>
      </c>
      <c r="B36" s="780" t="str">
        <f t="shared" si="5"/>
        <v/>
      </c>
      <c r="C36" s="188"/>
      <c r="D36" s="286" t="s">
        <v>573</v>
      </c>
      <c r="E36" s="25"/>
      <c r="F36" s="25"/>
      <c r="G36" s="25">
        <f t="array" ref="G36">SUM(IF("156"&amp;C36=KHN&amp;MH,SL))</f>
        <v>0</v>
      </c>
      <c r="H36" s="25">
        <f t="array" ref="H36">SUM(IF("156"&amp;C36=KHN&amp;MH,TH))</f>
        <v>0</v>
      </c>
      <c r="I36" s="25">
        <f t="array" ref="I36">SUM(IF("156"&amp;C36=KHC&amp;MH,SL))</f>
        <v>0</v>
      </c>
      <c r="J36" s="25">
        <f t="array" ref="J36">SUM(IF("156"&amp;C36=KHC&amp;MH,TH))</f>
        <v>0</v>
      </c>
      <c r="K36" s="25">
        <f t="shared" si="6"/>
        <v>0</v>
      </c>
      <c r="L36" s="25">
        <f t="shared" si="7"/>
        <v>0</v>
      </c>
      <c r="M36" s="284"/>
    </row>
    <row r="37" spans="1:13" ht="18.75" customHeight="1">
      <c r="A37" s="284" t="str">
        <f t="shared" si="4"/>
        <v/>
      </c>
      <c r="B37" s="780" t="str">
        <f t="shared" si="5"/>
        <v/>
      </c>
      <c r="C37" s="188"/>
      <c r="D37" s="286" t="s">
        <v>573</v>
      </c>
      <c r="E37" s="25"/>
      <c r="F37" s="25"/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0</v>
      </c>
      <c r="J37" s="25">
        <f t="array" ref="J37">SUM(IF("156"&amp;C37=KHC&amp;MH,TH))</f>
        <v>0</v>
      </c>
      <c r="K37" s="25">
        <f t="shared" si="6"/>
        <v>0</v>
      </c>
      <c r="L37" s="25">
        <f t="shared" si="7"/>
        <v>0</v>
      </c>
      <c r="M37" s="284"/>
    </row>
    <row r="38" spans="1:13" ht="18.75" customHeight="1">
      <c r="A38" s="284" t="str">
        <f t="shared" si="4"/>
        <v/>
      </c>
      <c r="B38" s="780" t="str">
        <f t="shared" si="5"/>
        <v/>
      </c>
      <c r="C38" s="188"/>
      <c r="D38" s="286" t="s">
        <v>573</v>
      </c>
      <c r="E38" s="25"/>
      <c r="F38" s="25"/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0</v>
      </c>
      <c r="J38" s="25">
        <f t="array" ref="J38">SUM(IF("156"&amp;C38=KHC&amp;MH,TH))</f>
        <v>0</v>
      </c>
      <c r="K38" s="25">
        <f t="shared" si="6"/>
        <v>0</v>
      </c>
      <c r="L38" s="25">
        <f t="shared" si="7"/>
        <v>0</v>
      </c>
      <c r="M38" s="284"/>
    </row>
    <row r="39" spans="1:13" ht="18.75" customHeight="1">
      <c r="A39" s="284" t="str">
        <f t="shared" si="4"/>
        <v/>
      </c>
      <c r="B39" s="780" t="str">
        <f t="shared" si="5"/>
        <v/>
      </c>
      <c r="C39" s="185"/>
      <c r="D39" s="286" t="s">
        <v>573</v>
      </c>
      <c r="E39" s="25"/>
      <c r="F39" s="25"/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6"/>
        <v>0</v>
      </c>
      <c r="L39" s="25">
        <f t="shared" si="7"/>
        <v>0</v>
      </c>
      <c r="M39" s="284"/>
    </row>
    <row r="40" spans="1:13" ht="18.75" customHeight="1">
      <c r="A40" s="284" t="str">
        <f t="shared" si="4"/>
        <v/>
      </c>
      <c r="B40" s="780" t="str">
        <f t="shared" si="5"/>
        <v/>
      </c>
      <c r="C40" s="188"/>
      <c r="D40" s="286" t="s">
        <v>573</v>
      </c>
      <c r="E40" s="25"/>
      <c r="F40" s="25"/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6"/>
        <v>0</v>
      </c>
      <c r="L40" s="25">
        <f t="shared" si="7"/>
        <v>0</v>
      </c>
      <c r="M40" s="284"/>
    </row>
    <row r="41" spans="1:13" ht="18.75" customHeight="1">
      <c r="A41" s="284" t="str">
        <f t="shared" si="4"/>
        <v/>
      </c>
      <c r="B41" s="780" t="str">
        <f t="shared" si="5"/>
        <v/>
      </c>
      <c r="C41" s="185"/>
      <c r="D41" s="286" t="s">
        <v>573</v>
      </c>
      <c r="E41" s="25"/>
      <c r="F41" s="25"/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6"/>
        <v>0</v>
      </c>
      <c r="L41" s="25">
        <f t="shared" si="7"/>
        <v>0</v>
      </c>
      <c r="M41" s="284"/>
    </row>
    <row r="42" spans="1:13" ht="18.75" customHeight="1">
      <c r="A42" s="284" t="str">
        <f t="shared" si="4"/>
        <v/>
      </c>
      <c r="B42" s="780" t="str">
        <f t="shared" si="5"/>
        <v/>
      </c>
      <c r="C42" s="185"/>
      <c r="D42" s="286" t="s">
        <v>573</v>
      </c>
      <c r="E42" s="25"/>
      <c r="F42" s="25"/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6"/>
        <v>0</v>
      </c>
      <c r="L42" s="25">
        <f t="shared" si="7"/>
        <v>0</v>
      </c>
      <c r="M42" s="284"/>
    </row>
    <row r="43" spans="1:13" ht="18.75" customHeight="1">
      <c r="A43" s="284" t="str">
        <f t="shared" si="4"/>
        <v/>
      </c>
      <c r="B43" s="780" t="str">
        <f t="shared" si="5"/>
        <v/>
      </c>
      <c r="C43" s="185"/>
      <c r="D43" s="286" t="s">
        <v>573</v>
      </c>
      <c r="E43" s="25"/>
      <c r="F43" s="25"/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6"/>
        <v>0</v>
      </c>
      <c r="L43" s="25">
        <f t="shared" si="7"/>
        <v>0</v>
      </c>
      <c r="M43" s="284"/>
    </row>
    <row r="44" spans="1:13" ht="18.75" customHeight="1">
      <c r="A44" s="284" t="str">
        <f t="shared" si="4"/>
        <v/>
      </c>
      <c r="B44" s="780" t="str">
        <f t="shared" si="5"/>
        <v/>
      </c>
      <c r="C44" s="185"/>
      <c r="D44" s="286" t="s">
        <v>573</v>
      </c>
      <c r="E44" s="25"/>
      <c r="F44" s="25"/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0</v>
      </c>
      <c r="J44" s="25">
        <f t="array" ref="J44">SUM(IF("156"&amp;C44=KHC&amp;MH,TH))</f>
        <v>0</v>
      </c>
      <c r="K44" s="25">
        <f t="shared" si="6"/>
        <v>0</v>
      </c>
      <c r="L44" s="25">
        <f t="shared" si="7"/>
        <v>0</v>
      </c>
      <c r="M44" s="284"/>
    </row>
    <row r="45" spans="1:13" ht="18.75" customHeight="1">
      <c r="A45" s="284" t="str">
        <f t="shared" si="4"/>
        <v/>
      </c>
      <c r="B45" s="780" t="str">
        <f t="shared" si="5"/>
        <v/>
      </c>
      <c r="C45" s="185"/>
      <c r="D45" s="286" t="s">
        <v>573</v>
      </c>
      <c r="E45" s="25"/>
      <c r="F45" s="25"/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0</v>
      </c>
      <c r="J45" s="25">
        <f t="array" ref="J45">SUM(IF("156"&amp;C45=KHC&amp;MH,TH))</f>
        <v>0</v>
      </c>
      <c r="K45" s="25">
        <f t="shared" si="6"/>
        <v>0</v>
      </c>
      <c r="L45" s="25">
        <f t="shared" si="7"/>
        <v>0</v>
      </c>
      <c r="M45" s="284"/>
    </row>
    <row r="46" spans="1:13" ht="18.75" customHeight="1">
      <c r="A46" s="284" t="str">
        <f t="shared" si="4"/>
        <v/>
      </c>
      <c r="B46" s="780" t="str">
        <f t="shared" si="5"/>
        <v/>
      </c>
      <c r="C46" s="188"/>
      <c r="D46" s="286" t="s">
        <v>573</v>
      </c>
      <c r="E46" s="25"/>
      <c r="F46" s="25"/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6"/>
        <v>0</v>
      </c>
      <c r="L46" s="25">
        <f t="shared" si="7"/>
        <v>0</v>
      </c>
      <c r="M46" s="284"/>
    </row>
    <row r="47" spans="1:13" ht="18.75" customHeight="1">
      <c r="A47" s="284" t="str">
        <f t="shared" si="4"/>
        <v/>
      </c>
      <c r="B47" s="780" t="str">
        <f t="shared" si="5"/>
        <v/>
      </c>
      <c r="C47" s="185"/>
      <c r="D47" s="286" t="s">
        <v>573</v>
      </c>
      <c r="E47" s="25"/>
      <c r="F47" s="25"/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6"/>
        <v>0</v>
      </c>
      <c r="L47" s="25">
        <f t="shared" si="7"/>
        <v>0</v>
      </c>
      <c r="M47" s="284"/>
    </row>
    <row r="48" spans="1:13" ht="18.75" customHeight="1">
      <c r="A48" s="284" t="str">
        <f t="shared" si="4"/>
        <v/>
      </c>
      <c r="B48" s="780" t="str">
        <f t="shared" si="5"/>
        <v/>
      </c>
      <c r="C48" s="185"/>
      <c r="D48" s="286" t="s">
        <v>573</v>
      </c>
      <c r="E48" s="25"/>
      <c r="F48" s="25"/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6"/>
        <v>0</v>
      </c>
      <c r="L48" s="25">
        <f t="shared" si="7"/>
        <v>0</v>
      </c>
      <c r="M48" s="284"/>
    </row>
    <row r="49" spans="1:13" ht="18.75" customHeight="1">
      <c r="A49" s="284" t="str">
        <f t="shared" si="4"/>
        <v/>
      </c>
      <c r="B49" s="780" t="str">
        <f t="shared" si="5"/>
        <v/>
      </c>
      <c r="C49" s="39"/>
      <c r="D49" s="286" t="s">
        <v>573</v>
      </c>
      <c r="E49" s="25"/>
      <c r="F49" s="25"/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0</v>
      </c>
      <c r="J49" s="25">
        <f t="array" ref="J49">SUM(IF("156"&amp;C49=KHC&amp;MH,TH))</f>
        <v>0</v>
      </c>
      <c r="K49" s="25">
        <f t="shared" si="6"/>
        <v>0</v>
      </c>
      <c r="L49" s="25">
        <f t="shared" si="7"/>
        <v>0</v>
      </c>
      <c r="M49" s="284"/>
    </row>
    <row r="50" spans="1:13" ht="18.75" customHeight="1">
      <c r="A50" s="284" t="str">
        <f t="shared" si="4"/>
        <v/>
      </c>
      <c r="B50" s="780" t="str">
        <f t="shared" si="5"/>
        <v/>
      </c>
      <c r="C50" s="185"/>
      <c r="D50" s="286" t="s">
        <v>573</v>
      </c>
      <c r="E50" s="25"/>
      <c r="F50" s="25"/>
      <c r="G50" s="25">
        <f t="array" ref="G50">SUM(IF("156"&amp;C50=KHN&amp;MH,SL))</f>
        <v>0</v>
      </c>
      <c r="H50" s="25">
        <f t="array" ref="H50">SUM(IF("156"&amp;C50=KHN&amp;MH,TH))</f>
        <v>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6"/>
        <v>0</v>
      </c>
      <c r="L50" s="25">
        <f t="shared" si="7"/>
        <v>0</v>
      </c>
      <c r="M50" s="284"/>
    </row>
    <row r="51" spans="1:13" ht="18.75" customHeight="1">
      <c r="A51" s="284" t="str">
        <f t="shared" si="4"/>
        <v/>
      </c>
      <c r="B51" s="780" t="str">
        <f t="shared" si="5"/>
        <v/>
      </c>
      <c r="C51" s="188"/>
      <c r="D51" s="286" t="s">
        <v>573</v>
      </c>
      <c r="E51" s="25"/>
      <c r="F51" s="25"/>
      <c r="G51" s="25">
        <f t="array" ref="G51">SUM(IF("156"&amp;C51=KHN&amp;MH,SL))</f>
        <v>0</v>
      </c>
      <c r="H51" s="25">
        <f t="array" ref="H51">SUM(IF("156"&amp;C51=KHN&amp;MH,TH))</f>
        <v>0</v>
      </c>
      <c r="I51" s="25">
        <f t="array" ref="I51">SUM(IF("156"&amp;C51=KHC&amp;MH,SL))</f>
        <v>0</v>
      </c>
      <c r="J51" s="25">
        <f t="array" ref="J51">SUM(IF("156"&amp;C51=KHC&amp;MH,TH))</f>
        <v>0</v>
      </c>
      <c r="K51" s="25">
        <f t="shared" si="6"/>
        <v>0</v>
      </c>
      <c r="L51" s="25">
        <f t="shared" si="7"/>
        <v>0</v>
      </c>
      <c r="M51" s="284"/>
    </row>
    <row r="52" spans="1:13" ht="18.75" customHeight="1">
      <c r="A52" s="284" t="str">
        <f t="shared" si="4"/>
        <v/>
      </c>
      <c r="B52" s="780" t="str">
        <f t="shared" si="5"/>
        <v/>
      </c>
      <c r="C52" s="185"/>
      <c r="D52" s="286" t="s">
        <v>573</v>
      </c>
      <c r="E52" s="25"/>
      <c r="F52" s="25"/>
      <c r="G52" s="25">
        <f t="array" ref="G52">SUM(IF("156"&amp;C52=KHN&amp;MH,SL))</f>
        <v>0</v>
      </c>
      <c r="H52" s="25">
        <f t="array" ref="H52">SUM(IF("156"&amp;C52=KHN&amp;MH,TH))</f>
        <v>0</v>
      </c>
      <c r="I52" s="25">
        <f t="array" ref="I52">SUM(IF("156"&amp;C52=KHC&amp;MH,SL))</f>
        <v>0</v>
      </c>
      <c r="J52" s="25">
        <f t="array" ref="J52">SUM(IF("156"&amp;C52=KHC&amp;MH,TH))</f>
        <v>0</v>
      </c>
      <c r="K52" s="25">
        <f t="shared" si="6"/>
        <v>0</v>
      </c>
      <c r="L52" s="25">
        <f t="shared" si="7"/>
        <v>0</v>
      </c>
      <c r="M52" s="284"/>
    </row>
    <row r="53" spans="1:13" ht="18.75" customHeight="1">
      <c r="A53" s="284" t="str">
        <f t="shared" si="4"/>
        <v/>
      </c>
      <c r="B53" s="780" t="str">
        <f t="shared" si="5"/>
        <v/>
      </c>
      <c r="C53" s="185"/>
      <c r="D53" s="286" t="s">
        <v>573</v>
      </c>
      <c r="E53" s="25"/>
      <c r="F53" s="25"/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0</v>
      </c>
      <c r="J53" s="25">
        <f t="array" ref="J53">SUM(IF("156"&amp;C53=KHC&amp;MH,TH))</f>
        <v>0</v>
      </c>
      <c r="K53" s="25">
        <f t="shared" si="6"/>
        <v>0</v>
      </c>
      <c r="L53" s="25">
        <f t="shared" si="7"/>
        <v>0</v>
      </c>
      <c r="M53" s="284"/>
    </row>
    <row r="54" spans="1:13" ht="18.75" customHeight="1">
      <c r="A54" s="284" t="str">
        <f t="shared" si="4"/>
        <v/>
      </c>
      <c r="B54" s="780" t="str">
        <f t="shared" si="5"/>
        <v/>
      </c>
      <c r="C54" s="185"/>
      <c r="D54" s="286" t="s">
        <v>573</v>
      </c>
      <c r="E54" s="25"/>
      <c r="F54" s="25"/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0</v>
      </c>
      <c r="J54" s="25">
        <f t="array" ref="J54">SUM(IF("156"&amp;C54=KHC&amp;MH,TH))</f>
        <v>0</v>
      </c>
      <c r="K54" s="25">
        <f t="shared" si="6"/>
        <v>0</v>
      </c>
      <c r="L54" s="25">
        <f t="shared" si="7"/>
        <v>0</v>
      </c>
      <c r="M54" s="284"/>
    </row>
    <row r="55" spans="1:13" ht="18.75" customHeight="1">
      <c r="A55" s="284" t="str">
        <f t="shared" si="4"/>
        <v/>
      </c>
      <c r="B55" s="780" t="str">
        <f t="shared" si="5"/>
        <v/>
      </c>
      <c r="C55" s="188"/>
      <c r="D55" s="286" t="s">
        <v>573</v>
      </c>
      <c r="E55" s="25"/>
      <c r="F55" s="25"/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0</v>
      </c>
      <c r="J55" s="25">
        <f t="array" ref="J55">SUM(IF("156"&amp;C55=KHC&amp;MH,TH))</f>
        <v>0</v>
      </c>
      <c r="K55" s="25">
        <f t="shared" si="6"/>
        <v>0</v>
      </c>
      <c r="L55" s="25">
        <f t="shared" si="7"/>
        <v>0</v>
      </c>
      <c r="M55" s="284"/>
    </row>
    <row r="56" spans="1:13" ht="18.75" customHeight="1">
      <c r="A56" s="284" t="str">
        <f t="shared" si="4"/>
        <v/>
      </c>
      <c r="B56" s="780" t="str">
        <f t="shared" si="5"/>
        <v/>
      </c>
      <c r="C56" s="185"/>
      <c r="D56" s="286" t="s">
        <v>573</v>
      </c>
      <c r="E56" s="25"/>
      <c r="F56" s="25"/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0</v>
      </c>
      <c r="J56" s="25">
        <f t="array" ref="J56">SUM(IF("156"&amp;C56=KHC&amp;MH,TH))</f>
        <v>0</v>
      </c>
      <c r="K56" s="25">
        <f t="shared" si="6"/>
        <v>0</v>
      </c>
      <c r="L56" s="25">
        <f t="shared" si="7"/>
        <v>0</v>
      </c>
      <c r="M56" s="284"/>
    </row>
    <row r="57" spans="1:13" ht="18.75" customHeight="1">
      <c r="A57" s="284" t="str">
        <f t="shared" si="4"/>
        <v/>
      </c>
      <c r="B57" s="780" t="str">
        <f t="shared" si="5"/>
        <v/>
      </c>
      <c r="C57" s="188"/>
      <c r="D57" s="286" t="s">
        <v>573</v>
      </c>
      <c r="E57" s="25"/>
      <c r="F57" s="25"/>
      <c r="G57" s="25">
        <f t="array" ref="G57">SUM(IF("156"&amp;C57=KHN&amp;MH,SL))</f>
        <v>0</v>
      </c>
      <c r="H57" s="25">
        <f t="array" ref="H57">SUM(IF("156"&amp;C57=KHN&amp;MH,TH))</f>
        <v>0</v>
      </c>
      <c r="I57" s="25">
        <f t="array" ref="I57">SUM(IF("156"&amp;C57=KHC&amp;MH,SL))</f>
        <v>0</v>
      </c>
      <c r="J57" s="25">
        <f t="array" ref="J57">SUM(IF("156"&amp;C57=KHC&amp;MH,TH))</f>
        <v>0</v>
      </c>
      <c r="K57" s="25">
        <f t="shared" si="6"/>
        <v>0</v>
      </c>
      <c r="L57" s="25">
        <f t="shared" si="7"/>
        <v>0</v>
      </c>
      <c r="M57" s="284"/>
    </row>
    <row r="58" spans="1:13" ht="18.75" customHeight="1">
      <c r="A58" s="284" t="str">
        <f t="shared" si="4"/>
        <v/>
      </c>
      <c r="B58" s="780" t="str">
        <f t="shared" si="5"/>
        <v/>
      </c>
      <c r="C58" s="188"/>
      <c r="D58" s="286" t="s">
        <v>573</v>
      </c>
      <c r="E58" s="25"/>
      <c r="F58" s="25"/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6"/>
        <v>0</v>
      </c>
      <c r="L58" s="25">
        <f t="shared" si="7"/>
        <v>0</v>
      </c>
      <c r="M58" s="284"/>
    </row>
    <row r="59" spans="1:13" ht="18.75" customHeight="1">
      <c r="A59" s="284" t="str">
        <f t="shared" si="4"/>
        <v/>
      </c>
      <c r="B59" s="780" t="str">
        <f t="shared" si="5"/>
        <v/>
      </c>
      <c r="C59" s="188"/>
      <c r="D59" s="286" t="s">
        <v>573</v>
      </c>
      <c r="E59" s="25"/>
      <c r="F59" s="25"/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6"/>
        <v>0</v>
      </c>
      <c r="L59" s="25">
        <f t="shared" si="7"/>
        <v>0</v>
      </c>
      <c r="M59" s="284"/>
    </row>
    <row r="60" spans="1:13" ht="18.75" customHeight="1">
      <c r="A60" s="284" t="str">
        <f t="shared" si="4"/>
        <v/>
      </c>
      <c r="B60" s="780" t="str">
        <f t="shared" si="5"/>
        <v/>
      </c>
      <c r="C60" s="188"/>
      <c r="D60" s="286" t="s">
        <v>573</v>
      </c>
      <c r="E60" s="25"/>
      <c r="F60" s="25"/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0</v>
      </c>
      <c r="J60" s="25">
        <f t="array" ref="J60">SUM(IF("156"&amp;C60=KHC&amp;MH,TH))</f>
        <v>0</v>
      </c>
      <c r="K60" s="25">
        <f t="shared" si="6"/>
        <v>0</v>
      </c>
      <c r="L60" s="25">
        <f t="shared" si="7"/>
        <v>0</v>
      </c>
      <c r="M60" s="284"/>
    </row>
    <row r="61" spans="1:13" ht="18.75" customHeight="1">
      <c r="A61" s="284" t="str">
        <f t="shared" si="4"/>
        <v/>
      </c>
      <c r="B61" s="780" t="str">
        <f t="shared" si="5"/>
        <v/>
      </c>
      <c r="C61" s="185"/>
      <c r="D61" s="286" t="s">
        <v>573</v>
      </c>
      <c r="E61" s="25"/>
      <c r="F61" s="25"/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0</v>
      </c>
      <c r="J61" s="25">
        <f t="array" ref="J61">SUM(IF("156"&amp;C61=KHC&amp;MH,TH))</f>
        <v>0</v>
      </c>
      <c r="K61" s="25">
        <f t="shared" si="6"/>
        <v>0</v>
      </c>
      <c r="L61" s="25">
        <f t="shared" si="7"/>
        <v>0</v>
      </c>
      <c r="M61" s="284"/>
    </row>
    <row r="62" spans="1:13" ht="18.75" customHeight="1">
      <c r="A62" s="284" t="str">
        <f t="shared" si="4"/>
        <v/>
      </c>
      <c r="B62" s="780" t="str">
        <f t="shared" si="5"/>
        <v/>
      </c>
      <c r="C62" s="188"/>
      <c r="D62" s="286" t="s">
        <v>573</v>
      </c>
      <c r="E62" s="25"/>
      <c r="F62" s="25"/>
      <c r="G62" s="25">
        <f t="array" ref="G62">SUM(IF("156"&amp;C62=KHN&amp;MH,SL))</f>
        <v>0</v>
      </c>
      <c r="H62" s="25">
        <f t="array" ref="H62">SUM(IF("156"&amp;C62=KHN&amp;MH,TH))</f>
        <v>0</v>
      </c>
      <c r="I62" s="25">
        <f t="array" ref="I62">SUM(IF("156"&amp;C62=KHC&amp;MH,SL))</f>
        <v>0</v>
      </c>
      <c r="J62" s="25">
        <f t="array" ref="J62">SUM(IF("156"&amp;C62=KHC&amp;MH,TH))</f>
        <v>0</v>
      </c>
      <c r="K62" s="25">
        <f t="shared" si="6"/>
        <v>0</v>
      </c>
      <c r="L62" s="25">
        <f t="shared" si="7"/>
        <v>0</v>
      </c>
      <c r="M62" s="284"/>
    </row>
    <row r="63" spans="1:13" ht="18.75" customHeight="1">
      <c r="A63" s="284" t="str">
        <f t="shared" si="4"/>
        <v/>
      </c>
      <c r="B63" s="780" t="str">
        <f t="shared" si="5"/>
        <v/>
      </c>
      <c r="C63" s="185"/>
      <c r="D63" s="286" t="s">
        <v>573</v>
      </c>
      <c r="E63" s="25"/>
      <c r="F63" s="25"/>
      <c r="G63" s="25">
        <f t="array" ref="G63">SUM(IF("156"&amp;C63=KHN&amp;MH,SL))</f>
        <v>0</v>
      </c>
      <c r="H63" s="25">
        <f t="array" ref="H63">SUM(IF("156"&amp;C63=KHN&amp;MH,TH))</f>
        <v>0</v>
      </c>
      <c r="I63" s="25">
        <f t="array" ref="I63">SUM(IF("156"&amp;C63=KHC&amp;MH,SL))</f>
        <v>0</v>
      </c>
      <c r="J63" s="25">
        <f t="array" ref="J63">SUM(IF("156"&amp;C63=KHC&amp;MH,TH))</f>
        <v>0</v>
      </c>
      <c r="K63" s="25">
        <f t="shared" si="6"/>
        <v>0</v>
      </c>
      <c r="L63" s="25">
        <f t="shared" si="7"/>
        <v>0</v>
      </c>
      <c r="M63" s="284"/>
    </row>
    <row r="64" spans="1:13" ht="18.75" customHeight="1">
      <c r="A64" s="284" t="str">
        <f t="shared" si="4"/>
        <v/>
      </c>
      <c r="B64" s="780" t="str">
        <f t="shared" si="5"/>
        <v/>
      </c>
      <c r="C64" s="185"/>
      <c r="D64" s="286" t="s">
        <v>573</v>
      </c>
      <c r="E64" s="25"/>
      <c r="F64" s="25"/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0</v>
      </c>
      <c r="J64" s="25">
        <f t="array" ref="J64">SUM(IF("156"&amp;C64=KHC&amp;MH,TH))</f>
        <v>0</v>
      </c>
      <c r="K64" s="25">
        <f t="shared" si="6"/>
        <v>0</v>
      </c>
      <c r="L64" s="25">
        <f t="shared" si="7"/>
        <v>0</v>
      </c>
      <c r="M64" s="284"/>
    </row>
    <row r="65" spans="1:13" ht="18.75" customHeight="1">
      <c r="A65" s="284" t="str">
        <f t="shared" si="4"/>
        <v/>
      </c>
      <c r="B65" s="780" t="str">
        <f t="shared" si="5"/>
        <v/>
      </c>
      <c r="C65" s="185"/>
      <c r="D65" s="286" t="s">
        <v>573</v>
      </c>
      <c r="E65" s="25"/>
      <c r="F65" s="25"/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0</v>
      </c>
      <c r="J65" s="25">
        <f t="array" ref="J65">SUM(IF("156"&amp;C65=KHC&amp;MH,TH))</f>
        <v>0</v>
      </c>
      <c r="K65" s="25">
        <f t="shared" si="6"/>
        <v>0</v>
      </c>
      <c r="L65" s="25">
        <f t="shared" si="7"/>
        <v>0</v>
      </c>
      <c r="M65" s="284"/>
    </row>
    <row r="66" spans="1:13" ht="18.75" customHeight="1">
      <c r="A66" s="284" t="str">
        <f t="shared" ref="A66:A100" si="8">IF(B66&lt;&gt;"","NL","")</f>
        <v/>
      </c>
      <c r="B66" s="780" t="str">
        <f t="shared" ref="B66:B100" si="9">IF(C66&lt;&gt;"",ROW()-11,"")</f>
        <v/>
      </c>
      <c r="C66" s="185"/>
      <c r="D66" s="286" t="s">
        <v>573</v>
      </c>
      <c r="E66" s="25"/>
      <c r="F66" s="25"/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0</v>
      </c>
      <c r="J66" s="25">
        <f t="array" ref="J66">SUM(IF("156"&amp;C66=KHC&amp;MH,TH))</f>
        <v>0</v>
      </c>
      <c r="K66" s="25">
        <f t="shared" ref="K66:K100" si="10">E66+G66-I66</f>
        <v>0</v>
      </c>
      <c r="L66" s="25">
        <f t="shared" ref="L66:L100" si="11">F66+H66-J66</f>
        <v>0</v>
      </c>
      <c r="M66" s="284"/>
    </row>
    <row r="67" spans="1:13" ht="18.75" customHeight="1">
      <c r="A67" s="284" t="str">
        <f t="shared" si="8"/>
        <v/>
      </c>
      <c r="B67" s="780" t="str">
        <f t="shared" si="9"/>
        <v/>
      </c>
      <c r="C67" s="188"/>
      <c r="D67" s="286" t="s">
        <v>573</v>
      </c>
      <c r="E67" s="25"/>
      <c r="F67" s="25"/>
      <c r="G67" s="25">
        <f t="array" ref="G67">SUM(IF("156"&amp;C67=KHN&amp;MH,SL))</f>
        <v>0</v>
      </c>
      <c r="H67" s="25">
        <f t="array" ref="H67">SUM(IF("156"&amp;C67=KHN&amp;MH,TH))</f>
        <v>0</v>
      </c>
      <c r="I67" s="25">
        <f t="array" ref="I67">SUM(IF("156"&amp;C67=KHC&amp;MH,SL))</f>
        <v>0</v>
      </c>
      <c r="J67" s="25">
        <f t="array" ref="J67">SUM(IF("156"&amp;C67=KHC&amp;MH,TH))</f>
        <v>0</v>
      </c>
      <c r="K67" s="25">
        <f t="shared" si="10"/>
        <v>0</v>
      </c>
      <c r="L67" s="25">
        <f t="shared" si="11"/>
        <v>0</v>
      </c>
      <c r="M67" s="284"/>
    </row>
    <row r="68" spans="1:13" ht="18.75" customHeight="1">
      <c r="A68" s="284" t="str">
        <f t="shared" si="8"/>
        <v/>
      </c>
      <c r="B68" s="780" t="str">
        <f t="shared" si="9"/>
        <v/>
      </c>
      <c r="C68" s="185"/>
      <c r="D68" s="286" t="s">
        <v>573</v>
      </c>
      <c r="E68" s="25"/>
      <c r="F68" s="25"/>
      <c r="G68" s="25">
        <f t="array" ref="G68">SUM(IF("156"&amp;C68=KHN&amp;MH,SL))</f>
        <v>0</v>
      </c>
      <c r="H68" s="25">
        <f t="array" ref="H68">SUM(IF("156"&amp;C68=KHN&amp;MH,TH))</f>
        <v>0</v>
      </c>
      <c r="I68" s="25">
        <f t="array" ref="I68">SUM(IF("156"&amp;C68=KHC&amp;MH,SL))</f>
        <v>0</v>
      </c>
      <c r="J68" s="25">
        <f t="array" ref="J68">SUM(IF("156"&amp;C68=KHC&amp;MH,TH))</f>
        <v>0</v>
      </c>
      <c r="K68" s="25">
        <f t="shared" si="10"/>
        <v>0</v>
      </c>
      <c r="L68" s="25">
        <f t="shared" si="11"/>
        <v>0</v>
      </c>
      <c r="M68" s="284"/>
    </row>
    <row r="69" spans="1:13" ht="18.75" customHeight="1">
      <c r="A69" s="284" t="str">
        <f t="shared" si="8"/>
        <v/>
      </c>
      <c r="B69" s="780" t="str">
        <f t="shared" si="9"/>
        <v/>
      </c>
      <c r="C69" s="185"/>
      <c r="D69" s="286" t="s">
        <v>573</v>
      </c>
      <c r="E69" s="25"/>
      <c r="F69" s="25"/>
      <c r="G69" s="25">
        <f t="array" ref="G69">SUM(IF("156"&amp;C69=KHN&amp;MH,SL))</f>
        <v>0</v>
      </c>
      <c r="H69" s="25">
        <f t="array" ref="H69">SUM(IF("156"&amp;C69=KHN&amp;MH,TH))</f>
        <v>0</v>
      </c>
      <c r="I69" s="25">
        <f t="array" ref="I69">SUM(IF("156"&amp;C69=KHC&amp;MH,SL))</f>
        <v>0</v>
      </c>
      <c r="J69" s="25">
        <f t="array" ref="J69">SUM(IF("156"&amp;C69=KHC&amp;MH,TH))</f>
        <v>0</v>
      </c>
      <c r="K69" s="25">
        <f t="shared" si="10"/>
        <v>0</v>
      </c>
      <c r="L69" s="25">
        <f t="shared" si="11"/>
        <v>0</v>
      </c>
      <c r="M69" s="284"/>
    </row>
    <row r="70" spans="1:13" ht="18.75" customHeight="1">
      <c r="A70" s="284" t="str">
        <f t="shared" si="8"/>
        <v/>
      </c>
      <c r="B70" s="780" t="str">
        <f t="shared" si="9"/>
        <v/>
      </c>
      <c r="C70" s="39"/>
      <c r="D70" s="286" t="s">
        <v>573</v>
      </c>
      <c r="E70" s="25"/>
      <c r="F70" s="25"/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0</v>
      </c>
      <c r="J70" s="25">
        <f t="array" ref="J70">SUM(IF("156"&amp;C70=KHC&amp;MH,TH))</f>
        <v>0</v>
      </c>
      <c r="K70" s="25">
        <f t="shared" si="10"/>
        <v>0</v>
      </c>
      <c r="L70" s="25">
        <f t="shared" si="11"/>
        <v>0</v>
      </c>
      <c r="M70" s="284"/>
    </row>
    <row r="71" spans="1:13" ht="18.75" customHeight="1">
      <c r="A71" s="284" t="str">
        <f t="shared" si="8"/>
        <v/>
      </c>
      <c r="B71" s="780" t="str">
        <f t="shared" si="9"/>
        <v/>
      </c>
      <c r="C71" s="185"/>
      <c r="D71" s="286" t="s">
        <v>573</v>
      </c>
      <c r="E71" s="25"/>
      <c r="F71" s="25"/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0</v>
      </c>
      <c r="J71" s="25">
        <f t="array" ref="J71">SUM(IF("156"&amp;C71=KHC&amp;MH,TH))</f>
        <v>0</v>
      </c>
      <c r="K71" s="25">
        <f t="shared" si="10"/>
        <v>0</v>
      </c>
      <c r="L71" s="25">
        <f t="shared" si="11"/>
        <v>0</v>
      </c>
      <c r="M71" s="284"/>
    </row>
    <row r="72" spans="1:13" ht="18.75" customHeight="1">
      <c r="A72" s="284" t="str">
        <f t="shared" si="8"/>
        <v/>
      </c>
      <c r="B72" s="780" t="str">
        <f t="shared" si="9"/>
        <v/>
      </c>
      <c r="C72" s="185"/>
      <c r="D72" s="286" t="s">
        <v>573</v>
      </c>
      <c r="E72" s="25"/>
      <c r="F72" s="25"/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0</v>
      </c>
      <c r="J72" s="25">
        <f t="array" ref="J72">SUM(IF("156"&amp;C72=KHC&amp;MH,TH))</f>
        <v>0</v>
      </c>
      <c r="K72" s="25">
        <f t="shared" si="10"/>
        <v>0</v>
      </c>
      <c r="L72" s="25">
        <f t="shared" si="11"/>
        <v>0</v>
      </c>
      <c r="M72" s="284"/>
    </row>
    <row r="73" spans="1:13" ht="18.75" customHeight="1">
      <c r="A73" s="284" t="str">
        <f t="shared" si="8"/>
        <v/>
      </c>
      <c r="B73" s="780" t="str">
        <f t="shared" si="9"/>
        <v/>
      </c>
      <c r="C73" s="188"/>
      <c r="D73" s="286" t="s">
        <v>573</v>
      </c>
      <c r="E73" s="25"/>
      <c r="F73" s="25"/>
      <c r="G73" s="25">
        <f t="array" ref="G73">SUM(IF("156"&amp;C73=KHN&amp;MH,SL))</f>
        <v>0</v>
      </c>
      <c r="H73" s="25">
        <f t="array" ref="H73">SUM(IF("156"&amp;C73=KHN&amp;MH,TH))</f>
        <v>0</v>
      </c>
      <c r="I73" s="25">
        <f t="array" ref="I73">SUM(IF("156"&amp;C73=KHC&amp;MH,SL))</f>
        <v>0</v>
      </c>
      <c r="J73" s="25">
        <f t="array" ref="J73">SUM(IF("156"&amp;C73=KHC&amp;MH,TH))</f>
        <v>0</v>
      </c>
      <c r="K73" s="25">
        <f t="shared" si="10"/>
        <v>0</v>
      </c>
      <c r="L73" s="25">
        <f t="shared" si="11"/>
        <v>0</v>
      </c>
      <c r="M73" s="284"/>
    </row>
    <row r="74" spans="1:13" ht="18.75" customHeight="1">
      <c r="A74" s="284" t="str">
        <f t="shared" si="8"/>
        <v/>
      </c>
      <c r="B74" s="780" t="str">
        <f t="shared" si="9"/>
        <v/>
      </c>
      <c r="C74" s="185"/>
      <c r="D74" s="286" t="s">
        <v>573</v>
      </c>
      <c r="E74" s="25"/>
      <c r="F74" s="25"/>
      <c r="G74" s="25">
        <f t="array" ref="G74">SUM(IF("156"&amp;C74=KHN&amp;MH,SL))</f>
        <v>0</v>
      </c>
      <c r="H74" s="25">
        <f t="array" ref="H74">SUM(IF("156"&amp;C74=KHN&amp;MH,TH))</f>
        <v>0</v>
      </c>
      <c r="I74" s="25">
        <f t="array" ref="I74">SUM(IF("156"&amp;C74=KHC&amp;MH,SL))</f>
        <v>0</v>
      </c>
      <c r="J74" s="25">
        <f t="array" ref="J74">SUM(IF("156"&amp;C74=KHC&amp;MH,TH))</f>
        <v>0</v>
      </c>
      <c r="K74" s="25">
        <f t="shared" si="10"/>
        <v>0</v>
      </c>
      <c r="L74" s="25">
        <f t="shared" si="11"/>
        <v>0</v>
      </c>
      <c r="M74" s="284"/>
    </row>
    <row r="75" spans="1:13" ht="18.75" customHeight="1">
      <c r="A75" s="284" t="str">
        <f t="shared" si="8"/>
        <v/>
      </c>
      <c r="B75" s="780" t="str">
        <f t="shared" si="9"/>
        <v/>
      </c>
      <c r="C75" s="185"/>
      <c r="D75" s="286" t="s">
        <v>573</v>
      </c>
      <c r="E75" s="25"/>
      <c r="F75" s="25"/>
      <c r="G75" s="25">
        <f t="array" ref="G75">SUM(IF("156"&amp;C75=KHN&amp;MH,SL))</f>
        <v>0</v>
      </c>
      <c r="H75" s="25">
        <f t="array" ref="H75">SUM(IF("156"&amp;C75=KHN&amp;MH,TH))</f>
        <v>0</v>
      </c>
      <c r="I75" s="25">
        <f t="array" ref="I75">SUM(IF("156"&amp;C75=KHC&amp;MH,SL))</f>
        <v>0</v>
      </c>
      <c r="J75" s="25">
        <f t="array" ref="J75">SUM(IF("156"&amp;C75=KHC&amp;MH,TH))</f>
        <v>0</v>
      </c>
      <c r="K75" s="25">
        <f t="shared" si="10"/>
        <v>0</v>
      </c>
      <c r="L75" s="25">
        <f t="shared" si="11"/>
        <v>0</v>
      </c>
      <c r="M75" s="284"/>
    </row>
    <row r="76" spans="1:13" ht="18.75" customHeight="1">
      <c r="A76" s="284" t="str">
        <f t="shared" si="8"/>
        <v/>
      </c>
      <c r="B76" s="780" t="str">
        <f t="shared" si="9"/>
        <v/>
      </c>
      <c r="C76" s="39"/>
      <c r="D76" s="286" t="s">
        <v>573</v>
      </c>
      <c r="E76" s="25"/>
      <c r="F76" s="25"/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0</v>
      </c>
      <c r="J76" s="25">
        <f t="array" ref="J76">SUM(IF("156"&amp;C76=KHC&amp;MH,TH))</f>
        <v>0</v>
      </c>
      <c r="K76" s="25">
        <f t="shared" si="10"/>
        <v>0</v>
      </c>
      <c r="L76" s="25">
        <f t="shared" si="11"/>
        <v>0</v>
      </c>
      <c r="M76" s="284"/>
    </row>
    <row r="77" spans="1:13" ht="18.75" customHeight="1">
      <c r="A77" s="284" t="str">
        <f t="shared" si="8"/>
        <v/>
      </c>
      <c r="B77" s="780" t="str">
        <f t="shared" si="9"/>
        <v/>
      </c>
      <c r="C77" s="188"/>
      <c r="D77" s="286" t="s">
        <v>573</v>
      </c>
      <c r="E77" s="25"/>
      <c r="F77" s="25"/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0</v>
      </c>
      <c r="J77" s="25">
        <f t="array" ref="J77">SUM(IF("156"&amp;C77=KHC&amp;MH,TH))</f>
        <v>0</v>
      </c>
      <c r="K77" s="25">
        <f t="shared" si="10"/>
        <v>0</v>
      </c>
      <c r="L77" s="25">
        <f t="shared" si="11"/>
        <v>0</v>
      </c>
      <c r="M77" s="284"/>
    </row>
    <row r="78" spans="1:13" ht="18.75" customHeight="1">
      <c r="A78" s="284" t="str">
        <f t="shared" si="8"/>
        <v/>
      </c>
      <c r="B78" s="780" t="str">
        <f t="shared" si="9"/>
        <v/>
      </c>
      <c r="C78" s="188"/>
      <c r="D78" s="286" t="s">
        <v>573</v>
      </c>
      <c r="E78" s="25"/>
      <c r="F78" s="25"/>
      <c r="G78" s="25">
        <f t="array" ref="G78">SUM(IF("156"&amp;C78=KHN&amp;MH,SL))</f>
        <v>0</v>
      </c>
      <c r="H78" s="25">
        <f t="array" ref="H78">SUM(IF("156"&amp;C78=KHN&amp;MH,TH))</f>
        <v>0</v>
      </c>
      <c r="I78" s="25">
        <f t="array" ref="I78">SUM(IF("156"&amp;C78=KHC&amp;MH,SL))</f>
        <v>0</v>
      </c>
      <c r="J78" s="25">
        <f t="array" ref="J78">SUM(IF("156"&amp;C78=KHC&amp;MH,TH))</f>
        <v>0</v>
      </c>
      <c r="K78" s="25">
        <f t="shared" si="10"/>
        <v>0</v>
      </c>
      <c r="L78" s="25">
        <f t="shared" si="11"/>
        <v>0</v>
      </c>
      <c r="M78" s="284"/>
    </row>
    <row r="79" spans="1:13" ht="18.75" customHeight="1">
      <c r="A79" s="284" t="str">
        <f t="shared" si="8"/>
        <v/>
      </c>
      <c r="B79" s="780" t="str">
        <f t="shared" si="9"/>
        <v/>
      </c>
      <c r="C79" s="188"/>
      <c r="D79" s="286" t="s">
        <v>573</v>
      </c>
      <c r="E79" s="25"/>
      <c r="F79" s="25"/>
      <c r="G79" s="25">
        <f t="array" ref="G79">SUM(IF("156"&amp;C79=KHN&amp;MH,SL))</f>
        <v>0</v>
      </c>
      <c r="H79" s="25">
        <f t="array" ref="H79">SUM(IF("156"&amp;C79=KHN&amp;MH,TH))</f>
        <v>0</v>
      </c>
      <c r="I79" s="25">
        <f t="array" ref="I79">SUM(IF("156"&amp;C79=KHC&amp;MH,SL))</f>
        <v>0</v>
      </c>
      <c r="J79" s="25">
        <f t="array" ref="J79">SUM(IF("156"&amp;C79=KHC&amp;MH,TH))</f>
        <v>0</v>
      </c>
      <c r="K79" s="25">
        <f t="shared" si="10"/>
        <v>0</v>
      </c>
      <c r="L79" s="25">
        <f t="shared" si="11"/>
        <v>0</v>
      </c>
      <c r="M79" s="284"/>
    </row>
    <row r="80" spans="1:13" ht="18.75" customHeight="1">
      <c r="A80" s="284" t="str">
        <f t="shared" si="8"/>
        <v/>
      </c>
      <c r="B80" s="780" t="str">
        <f t="shared" si="9"/>
        <v/>
      </c>
      <c r="C80" s="188"/>
      <c r="D80" s="286" t="s">
        <v>573</v>
      </c>
      <c r="E80" s="25"/>
      <c r="F80" s="25"/>
      <c r="G80" s="25">
        <f t="array" ref="G80">SUM(IF("156"&amp;C80=KHN&amp;MH,SL))</f>
        <v>0</v>
      </c>
      <c r="H80" s="25">
        <f t="array" ref="H80">SUM(IF("156"&amp;C80=KHN&amp;MH,TH))</f>
        <v>0</v>
      </c>
      <c r="I80" s="25">
        <f t="array" ref="I80">SUM(IF("156"&amp;C80=KHC&amp;MH,SL))</f>
        <v>0</v>
      </c>
      <c r="J80" s="25">
        <f t="array" ref="J80">SUM(IF("156"&amp;C80=KHC&amp;MH,TH))</f>
        <v>0</v>
      </c>
      <c r="K80" s="25">
        <f t="shared" si="10"/>
        <v>0</v>
      </c>
      <c r="L80" s="25">
        <f t="shared" si="11"/>
        <v>0</v>
      </c>
      <c r="M80" s="284"/>
    </row>
    <row r="81" spans="1:13" ht="18.75" customHeight="1">
      <c r="A81" s="284" t="str">
        <f t="shared" si="8"/>
        <v/>
      </c>
      <c r="B81" s="780" t="str">
        <f t="shared" si="9"/>
        <v/>
      </c>
      <c r="C81" s="188"/>
      <c r="D81" s="286" t="s">
        <v>573</v>
      </c>
      <c r="E81" s="25"/>
      <c r="F81" s="25"/>
      <c r="G81" s="25">
        <f t="array" ref="G81">SUM(IF("156"&amp;C81=KHN&amp;MH,SL))</f>
        <v>0</v>
      </c>
      <c r="H81" s="25">
        <f t="array" ref="H81">SUM(IF("156"&amp;C81=KHN&amp;MH,TH))</f>
        <v>0</v>
      </c>
      <c r="I81" s="25">
        <f t="array" ref="I81">SUM(IF("156"&amp;C81=KHC&amp;MH,SL))</f>
        <v>0</v>
      </c>
      <c r="J81" s="25">
        <f t="array" ref="J81">SUM(IF("156"&amp;C81=KHC&amp;MH,TH))</f>
        <v>0</v>
      </c>
      <c r="K81" s="25">
        <f t="shared" si="10"/>
        <v>0</v>
      </c>
      <c r="L81" s="25">
        <f t="shared" si="11"/>
        <v>0</v>
      </c>
      <c r="M81" s="284"/>
    </row>
    <row r="82" spans="1:13" ht="18.75" customHeight="1">
      <c r="A82" s="284" t="str">
        <f t="shared" si="8"/>
        <v/>
      </c>
      <c r="B82" s="780" t="str">
        <f t="shared" si="9"/>
        <v/>
      </c>
      <c r="C82" s="188"/>
      <c r="D82" s="286" t="s">
        <v>573</v>
      </c>
      <c r="E82" s="25"/>
      <c r="F82" s="25"/>
      <c r="G82" s="25">
        <f t="array" ref="G82">SUM(IF("156"&amp;C82=KHN&amp;MH,SL))</f>
        <v>0</v>
      </c>
      <c r="H82" s="25">
        <f t="array" ref="H82">SUM(IF("156"&amp;C82=KHN&amp;MH,TH))</f>
        <v>0</v>
      </c>
      <c r="I82" s="25">
        <f t="array" ref="I82">SUM(IF("156"&amp;C82=KHC&amp;MH,SL))</f>
        <v>0</v>
      </c>
      <c r="J82" s="25">
        <f t="array" ref="J82">SUM(IF("156"&amp;C82=KHC&amp;MH,TH))</f>
        <v>0</v>
      </c>
      <c r="K82" s="25">
        <f t="shared" si="10"/>
        <v>0</v>
      </c>
      <c r="L82" s="25">
        <f t="shared" si="11"/>
        <v>0</v>
      </c>
      <c r="M82" s="284"/>
    </row>
    <row r="83" spans="1:13" ht="18.75" customHeight="1">
      <c r="A83" s="284" t="str">
        <f t="shared" si="8"/>
        <v/>
      </c>
      <c r="B83" s="780" t="str">
        <f t="shared" si="9"/>
        <v/>
      </c>
      <c r="C83" s="188"/>
      <c r="D83" s="286" t="s">
        <v>573</v>
      </c>
      <c r="E83" s="25"/>
      <c r="F83" s="25"/>
      <c r="G83" s="25">
        <f t="array" ref="G83">SUM(IF("156"&amp;C83=KHN&amp;MH,SL))</f>
        <v>0</v>
      </c>
      <c r="H83" s="25">
        <f t="array" ref="H83">SUM(IF("156"&amp;C83=KHN&amp;MH,TH))</f>
        <v>0</v>
      </c>
      <c r="I83" s="25">
        <f t="array" ref="I83">SUM(IF("156"&amp;C83=KHC&amp;MH,SL))</f>
        <v>0</v>
      </c>
      <c r="J83" s="25">
        <f t="array" ref="J83">SUM(IF("156"&amp;C83=KHC&amp;MH,TH))</f>
        <v>0</v>
      </c>
      <c r="K83" s="25">
        <f t="shared" si="10"/>
        <v>0</v>
      </c>
      <c r="L83" s="25">
        <f t="shared" si="11"/>
        <v>0</v>
      </c>
      <c r="M83" s="284"/>
    </row>
    <row r="84" spans="1:13" ht="18.75" customHeight="1">
      <c r="A84" s="284" t="str">
        <f t="shared" si="8"/>
        <v/>
      </c>
      <c r="B84" s="780" t="str">
        <f t="shared" si="9"/>
        <v/>
      </c>
      <c r="C84" s="185"/>
      <c r="D84" s="286" t="s">
        <v>573</v>
      </c>
      <c r="E84" s="25"/>
      <c r="F84" s="25"/>
      <c r="G84" s="25">
        <f t="array" ref="G84">SUM(IF("156"&amp;C84=KHN&amp;MH,SL))</f>
        <v>0</v>
      </c>
      <c r="H84" s="25">
        <f t="array" ref="H84">SUM(IF("156"&amp;C84=KHN&amp;MH,TH))</f>
        <v>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10"/>
        <v>0</v>
      </c>
      <c r="L84" s="25">
        <f t="shared" si="11"/>
        <v>0</v>
      </c>
      <c r="M84" s="284"/>
    </row>
    <row r="85" spans="1:13" ht="18.75" customHeight="1">
      <c r="A85" s="284" t="str">
        <f t="shared" si="8"/>
        <v/>
      </c>
      <c r="B85" s="780" t="str">
        <f t="shared" si="9"/>
        <v/>
      </c>
      <c r="C85" s="185"/>
      <c r="D85" s="286" t="s">
        <v>573</v>
      </c>
      <c r="E85" s="25"/>
      <c r="F85" s="25"/>
      <c r="G85" s="25">
        <f t="array" ref="G85">SUM(IF("156"&amp;C85=KHN&amp;MH,SL))</f>
        <v>0</v>
      </c>
      <c r="H85" s="25">
        <f t="array" ref="H85">SUM(IF("156"&amp;C85=KHN&amp;MH,TH))</f>
        <v>0</v>
      </c>
      <c r="I85" s="25">
        <f t="array" ref="I85">SUM(IF("156"&amp;C85=KHC&amp;MH,SL))</f>
        <v>0</v>
      </c>
      <c r="J85" s="25">
        <f t="array" ref="J85">SUM(IF("156"&amp;C85=KHC&amp;MH,TH))</f>
        <v>0</v>
      </c>
      <c r="K85" s="25">
        <f t="shared" si="10"/>
        <v>0</v>
      </c>
      <c r="L85" s="25">
        <f t="shared" si="11"/>
        <v>0</v>
      </c>
      <c r="M85" s="284"/>
    </row>
    <row r="86" spans="1:13" ht="18.75" customHeight="1">
      <c r="A86" s="284" t="str">
        <f t="shared" si="8"/>
        <v/>
      </c>
      <c r="B86" s="780" t="str">
        <f t="shared" si="9"/>
        <v/>
      </c>
      <c r="C86" s="188"/>
      <c r="D86" s="286" t="s">
        <v>573</v>
      </c>
      <c r="E86" s="25"/>
      <c r="F86" s="25"/>
      <c r="G86" s="25">
        <f t="array" ref="G86">SUM(IF("156"&amp;C86=KHN&amp;MH,SL))</f>
        <v>0</v>
      </c>
      <c r="H86" s="25">
        <f t="array" ref="H86">SUM(IF("156"&amp;C86=KHN&amp;MH,TH))</f>
        <v>0</v>
      </c>
      <c r="I86" s="25">
        <f t="array" ref="I86">SUM(IF("156"&amp;C86=KHC&amp;MH,SL))</f>
        <v>0</v>
      </c>
      <c r="J86" s="25">
        <f t="array" ref="J86">SUM(IF("156"&amp;C86=KHC&amp;MH,TH))</f>
        <v>0</v>
      </c>
      <c r="K86" s="25">
        <f t="shared" si="10"/>
        <v>0</v>
      </c>
      <c r="L86" s="25">
        <f t="shared" si="11"/>
        <v>0</v>
      </c>
      <c r="M86" s="284"/>
    </row>
    <row r="87" spans="1:13" ht="18.75" customHeight="1">
      <c r="A87" s="284" t="str">
        <f t="shared" si="8"/>
        <v/>
      </c>
      <c r="B87" s="780" t="str">
        <f t="shared" si="9"/>
        <v/>
      </c>
      <c r="C87" s="39"/>
      <c r="D87" s="286" t="s">
        <v>573</v>
      </c>
      <c r="E87" s="25"/>
      <c r="F87" s="25"/>
      <c r="G87" s="25">
        <f t="array" ref="G87">SUM(IF("156"&amp;C87=KHN&amp;MH,SL))</f>
        <v>0</v>
      </c>
      <c r="H87" s="25">
        <f t="array" ref="H87">SUM(IF("156"&amp;C87=KHN&amp;MH,TH))</f>
        <v>0</v>
      </c>
      <c r="I87" s="25">
        <f t="array" ref="I87">SUM(IF("156"&amp;C87=KHC&amp;MH,SL))</f>
        <v>0</v>
      </c>
      <c r="J87" s="25">
        <f t="array" ref="J87">SUM(IF("156"&amp;C87=KHC&amp;MH,TH))</f>
        <v>0</v>
      </c>
      <c r="K87" s="25">
        <f t="shared" si="10"/>
        <v>0</v>
      </c>
      <c r="L87" s="25">
        <f t="shared" si="11"/>
        <v>0</v>
      </c>
      <c r="M87" s="284"/>
    </row>
    <row r="88" spans="1:13" ht="18.75" customHeight="1">
      <c r="A88" s="284" t="str">
        <f t="shared" si="8"/>
        <v/>
      </c>
      <c r="B88" s="780" t="str">
        <f t="shared" si="9"/>
        <v/>
      </c>
      <c r="C88" s="39"/>
      <c r="D88" s="286" t="s">
        <v>573</v>
      </c>
      <c r="E88" s="25"/>
      <c r="F88" s="25"/>
      <c r="G88" s="25">
        <f t="array" ref="G88">SUM(IF("156"&amp;C88=KHN&amp;MH,SL))</f>
        <v>0</v>
      </c>
      <c r="H88" s="25">
        <f t="array" ref="H88">SUM(IF("156"&amp;C88=KHN&amp;MH,TH))</f>
        <v>0</v>
      </c>
      <c r="I88" s="25">
        <f t="array" ref="I88">SUM(IF("156"&amp;C88=KHC&amp;MH,SL))</f>
        <v>0</v>
      </c>
      <c r="J88" s="25">
        <f t="array" ref="J88">SUM(IF("156"&amp;C88=KHC&amp;MH,TH))</f>
        <v>0</v>
      </c>
      <c r="K88" s="25">
        <f t="shared" si="10"/>
        <v>0</v>
      </c>
      <c r="L88" s="25">
        <f t="shared" si="11"/>
        <v>0</v>
      </c>
      <c r="M88" s="284"/>
    </row>
    <row r="89" spans="1:13" ht="18.75" customHeight="1">
      <c r="A89" s="284" t="str">
        <f t="shared" si="8"/>
        <v/>
      </c>
      <c r="B89" s="780" t="str">
        <f t="shared" si="9"/>
        <v/>
      </c>
      <c r="C89" s="188"/>
      <c r="D89" s="286" t="s">
        <v>573</v>
      </c>
      <c r="E89" s="25"/>
      <c r="F89" s="25"/>
      <c r="G89" s="25">
        <f t="array" ref="G89">SUM(IF("156"&amp;C89=KHN&amp;MH,SL))</f>
        <v>0</v>
      </c>
      <c r="H89" s="25">
        <f t="array" ref="H89">SUM(IF("156"&amp;C89=KHN&amp;MH,TH))</f>
        <v>0</v>
      </c>
      <c r="I89" s="25">
        <f t="array" ref="I89">SUM(IF("156"&amp;C89=KHC&amp;MH,SL))</f>
        <v>0</v>
      </c>
      <c r="J89" s="25">
        <f t="array" ref="J89">SUM(IF("156"&amp;C89=KHC&amp;MH,TH))</f>
        <v>0</v>
      </c>
      <c r="K89" s="25">
        <f t="shared" si="10"/>
        <v>0</v>
      </c>
      <c r="L89" s="25">
        <f t="shared" si="11"/>
        <v>0</v>
      </c>
      <c r="M89" s="284"/>
    </row>
    <row r="90" spans="1:13" ht="18.75" customHeight="1">
      <c r="A90" s="284" t="str">
        <f t="shared" si="8"/>
        <v/>
      </c>
      <c r="B90" s="780" t="str">
        <f t="shared" si="9"/>
        <v/>
      </c>
      <c r="C90" s="185"/>
      <c r="D90" s="286" t="s">
        <v>573</v>
      </c>
      <c r="E90" s="25"/>
      <c r="F90" s="25"/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0</v>
      </c>
      <c r="J90" s="25">
        <f t="array" ref="J90">SUM(IF("156"&amp;C90=KHC&amp;MH,TH))</f>
        <v>0</v>
      </c>
      <c r="K90" s="25">
        <f t="shared" si="10"/>
        <v>0</v>
      </c>
      <c r="L90" s="25">
        <f t="shared" si="11"/>
        <v>0</v>
      </c>
      <c r="M90" s="284"/>
    </row>
    <row r="91" spans="1:13" ht="18.75" customHeight="1">
      <c r="A91" s="284" t="str">
        <f t="shared" si="8"/>
        <v/>
      </c>
      <c r="B91" s="780" t="str">
        <f t="shared" si="9"/>
        <v/>
      </c>
      <c r="C91" s="185"/>
      <c r="D91" s="286" t="s">
        <v>573</v>
      </c>
      <c r="E91" s="25"/>
      <c r="F91" s="25"/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0</v>
      </c>
      <c r="J91" s="25">
        <f t="array" ref="J91">SUM(IF("156"&amp;C91=KHC&amp;MH,TH))</f>
        <v>0</v>
      </c>
      <c r="K91" s="25">
        <f t="shared" si="10"/>
        <v>0</v>
      </c>
      <c r="L91" s="25">
        <f t="shared" si="11"/>
        <v>0</v>
      </c>
      <c r="M91" s="284"/>
    </row>
    <row r="92" spans="1:13" ht="18.75" customHeight="1">
      <c r="A92" s="284" t="str">
        <f t="shared" si="8"/>
        <v/>
      </c>
      <c r="B92" s="780" t="str">
        <f t="shared" si="9"/>
        <v/>
      </c>
      <c r="C92" s="185"/>
      <c r="D92" s="286" t="s">
        <v>573</v>
      </c>
      <c r="E92" s="25"/>
      <c r="F92" s="25"/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0</v>
      </c>
      <c r="J92" s="25">
        <f t="array" ref="J92">SUM(IF("156"&amp;C92=KHC&amp;MH,TH))</f>
        <v>0</v>
      </c>
      <c r="K92" s="25">
        <f t="shared" si="10"/>
        <v>0</v>
      </c>
      <c r="L92" s="25">
        <f t="shared" si="11"/>
        <v>0</v>
      </c>
      <c r="M92" s="284"/>
    </row>
    <row r="93" spans="1:13" ht="18.75" customHeight="1">
      <c r="A93" s="284" t="str">
        <f t="shared" si="8"/>
        <v/>
      </c>
      <c r="B93" s="780" t="str">
        <f t="shared" si="9"/>
        <v/>
      </c>
      <c r="C93" s="188"/>
      <c r="D93" s="286" t="s">
        <v>573</v>
      </c>
      <c r="E93" s="25"/>
      <c r="F93" s="25"/>
      <c r="G93" s="25">
        <f t="array" ref="G93">SUM(IF("156"&amp;C93=KHN&amp;MH,SL))</f>
        <v>0</v>
      </c>
      <c r="H93" s="25">
        <f t="array" ref="H93">SUM(IF("156"&amp;C93=KHN&amp;MH,TH))</f>
        <v>0</v>
      </c>
      <c r="I93" s="25">
        <f t="array" ref="I93">SUM(IF("156"&amp;C93=KHC&amp;MH,SL))</f>
        <v>0</v>
      </c>
      <c r="J93" s="25">
        <f t="array" ref="J93">SUM(IF("156"&amp;C93=KHC&amp;MH,TH))</f>
        <v>0</v>
      </c>
      <c r="K93" s="25">
        <f t="shared" si="10"/>
        <v>0</v>
      </c>
      <c r="L93" s="25">
        <f t="shared" si="11"/>
        <v>0</v>
      </c>
      <c r="M93" s="284"/>
    </row>
    <row r="94" spans="1:13" ht="18.75" customHeight="1">
      <c r="A94" s="284" t="str">
        <f t="shared" si="8"/>
        <v/>
      </c>
      <c r="B94" s="780" t="str">
        <f t="shared" si="9"/>
        <v/>
      </c>
      <c r="C94" s="188"/>
      <c r="D94" s="286" t="s">
        <v>573</v>
      </c>
      <c r="E94" s="25"/>
      <c r="F94" s="25"/>
      <c r="G94" s="25">
        <f t="array" ref="G94">SUM(IF("156"&amp;C94=KHN&amp;MH,SL))</f>
        <v>0</v>
      </c>
      <c r="H94" s="25">
        <f t="array" ref="H94">SUM(IF("156"&amp;C94=KHN&amp;MH,TH))</f>
        <v>0</v>
      </c>
      <c r="I94" s="25">
        <f t="array" ref="I94">SUM(IF("156"&amp;C94=KHC&amp;MH,SL))</f>
        <v>0</v>
      </c>
      <c r="J94" s="25">
        <f t="array" ref="J94">SUM(IF("156"&amp;C94=KHC&amp;MH,TH))</f>
        <v>0</v>
      </c>
      <c r="K94" s="25">
        <f t="shared" si="10"/>
        <v>0</v>
      </c>
      <c r="L94" s="25">
        <f t="shared" si="11"/>
        <v>0</v>
      </c>
      <c r="M94" s="284"/>
    </row>
    <row r="95" spans="1:13" ht="18.75" customHeight="1">
      <c r="A95" s="284" t="str">
        <f t="shared" si="8"/>
        <v/>
      </c>
      <c r="B95" s="780" t="str">
        <f t="shared" si="9"/>
        <v/>
      </c>
      <c r="C95" s="185"/>
      <c r="D95" s="286" t="s">
        <v>573</v>
      </c>
      <c r="E95" s="25"/>
      <c r="F95" s="25"/>
      <c r="G95" s="25">
        <f t="array" ref="G95">SUM(IF("156"&amp;C95=KHN&amp;MH,SL))</f>
        <v>0</v>
      </c>
      <c r="H95" s="25">
        <f t="array" ref="H95">SUM(IF("156"&amp;C95=KHN&amp;MH,TH))</f>
        <v>0</v>
      </c>
      <c r="I95" s="25">
        <f t="array" ref="I95">SUM(IF("156"&amp;C95=KHC&amp;MH,SL))</f>
        <v>0</v>
      </c>
      <c r="J95" s="25">
        <f t="array" ref="J95">SUM(IF("156"&amp;C95=KHC&amp;MH,TH))</f>
        <v>0</v>
      </c>
      <c r="K95" s="25">
        <f t="shared" si="10"/>
        <v>0</v>
      </c>
      <c r="L95" s="25">
        <f t="shared" si="11"/>
        <v>0</v>
      </c>
      <c r="M95" s="284"/>
    </row>
    <row r="96" spans="1:13" ht="18.75" customHeight="1">
      <c r="A96" s="284" t="str">
        <f t="shared" si="8"/>
        <v/>
      </c>
      <c r="B96" s="780" t="str">
        <f t="shared" si="9"/>
        <v/>
      </c>
      <c r="C96" s="185"/>
      <c r="D96" s="286" t="s">
        <v>573</v>
      </c>
      <c r="E96" s="25"/>
      <c r="F96" s="25"/>
      <c r="G96" s="25">
        <f t="array" ref="G96">SUM(IF("156"&amp;C96=KHN&amp;MH,SL))</f>
        <v>0</v>
      </c>
      <c r="H96" s="25">
        <f t="array" ref="H96">SUM(IF("156"&amp;C96=KHN&amp;MH,TH))</f>
        <v>0</v>
      </c>
      <c r="I96" s="25">
        <f t="array" ref="I96">SUM(IF("156"&amp;C96=KHC&amp;MH,SL))</f>
        <v>0</v>
      </c>
      <c r="J96" s="25">
        <f t="array" ref="J96">SUM(IF("156"&amp;C96=KHC&amp;MH,TH))</f>
        <v>0</v>
      </c>
      <c r="K96" s="25">
        <f t="shared" si="10"/>
        <v>0</v>
      </c>
      <c r="L96" s="25">
        <f t="shared" si="11"/>
        <v>0</v>
      </c>
      <c r="M96" s="284"/>
    </row>
    <row r="97" spans="1:13" ht="18.75" customHeight="1">
      <c r="A97" s="284" t="str">
        <f t="shared" si="8"/>
        <v/>
      </c>
      <c r="B97" s="780" t="str">
        <f t="shared" si="9"/>
        <v/>
      </c>
      <c r="C97" s="188"/>
      <c r="D97" s="286" t="s">
        <v>573</v>
      </c>
      <c r="E97" s="25"/>
      <c r="F97" s="25"/>
      <c r="G97" s="25">
        <f t="array" ref="G97">SUM(IF("156"&amp;C97=KHN&amp;MH,SL))</f>
        <v>0</v>
      </c>
      <c r="H97" s="25">
        <f t="array" ref="H97">SUM(IF("156"&amp;C97=KHN&amp;MH,TH))</f>
        <v>0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10"/>
        <v>0</v>
      </c>
      <c r="L97" s="25">
        <f t="shared" si="11"/>
        <v>0</v>
      </c>
      <c r="M97" s="284"/>
    </row>
    <row r="98" spans="1:13" ht="18.75" customHeight="1">
      <c r="A98" s="284" t="str">
        <f t="shared" si="8"/>
        <v/>
      </c>
      <c r="B98" s="780" t="str">
        <f t="shared" si="9"/>
        <v/>
      </c>
      <c r="C98" s="188"/>
      <c r="D98" s="286" t="s">
        <v>573</v>
      </c>
      <c r="E98" s="25"/>
      <c r="F98" s="25"/>
      <c r="G98" s="25">
        <f t="array" ref="G98">SUM(IF("156"&amp;C98=KHN&amp;MH,SL))</f>
        <v>0</v>
      </c>
      <c r="H98" s="25">
        <f t="array" ref="H98">SUM(IF("156"&amp;C98=KHN&amp;MH,TH))</f>
        <v>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10"/>
        <v>0</v>
      </c>
      <c r="L98" s="25">
        <f t="shared" si="11"/>
        <v>0</v>
      </c>
      <c r="M98" s="284"/>
    </row>
    <row r="99" spans="1:13" ht="18.75" customHeight="1">
      <c r="A99" s="284" t="str">
        <f t="shared" si="8"/>
        <v/>
      </c>
      <c r="B99" s="780" t="str">
        <f t="shared" si="9"/>
        <v/>
      </c>
      <c r="C99" s="188"/>
      <c r="D99" s="286" t="s">
        <v>573</v>
      </c>
      <c r="E99" s="25"/>
      <c r="F99" s="25"/>
      <c r="G99" s="25">
        <f t="array" ref="G99">SUM(IF("156"&amp;C99=KHN&amp;MH,SL))</f>
        <v>0</v>
      </c>
      <c r="H99" s="25">
        <f t="array" ref="H99">SUM(IF("156"&amp;C99=KHN&amp;MH,TH))</f>
        <v>0</v>
      </c>
      <c r="I99" s="25">
        <f t="array" ref="I99">SUM(IF("156"&amp;C99=KHC&amp;MH,SL))</f>
        <v>0</v>
      </c>
      <c r="J99" s="25">
        <f t="array" ref="J99">SUM(IF("156"&amp;C99=KHC&amp;MH,TH))</f>
        <v>0</v>
      </c>
      <c r="K99" s="25">
        <f t="shared" si="10"/>
        <v>0</v>
      </c>
      <c r="L99" s="25">
        <f t="shared" si="11"/>
        <v>0</v>
      </c>
      <c r="M99" s="284"/>
    </row>
    <row r="100" spans="1:13" ht="18.75" customHeight="1">
      <c r="A100" s="284" t="str">
        <f t="shared" si="8"/>
        <v/>
      </c>
      <c r="B100" s="780" t="str">
        <f t="shared" si="9"/>
        <v/>
      </c>
      <c r="C100" s="185"/>
      <c r="D100" s="286" t="s">
        <v>573</v>
      </c>
      <c r="E100" s="25"/>
      <c r="F100" s="25"/>
      <c r="G100" s="25">
        <f t="array" ref="G100">SUM(IF("156"&amp;C100=KHN&amp;MH,SL))</f>
        <v>0</v>
      </c>
      <c r="H100" s="25">
        <f t="array" ref="H100">SUM(IF("156"&amp;C100=KHN&amp;MH,TH))</f>
        <v>0</v>
      </c>
      <c r="I100" s="25">
        <f t="array" ref="I100">SUM(IF("156"&amp;C100=KHC&amp;MH,SL))</f>
        <v>0</v>
      </c>
      <c r="J100" s="25">
        <f t="array" ref="J100">SUM(IF("156"&amp;C100=KHC&amp;MH,TH))</f>
        <v>0</v>
      </c>
      <c r="K100" s="25">
        <f t="shared" si="10"/>
        <v>0</v>
      </c>
      <c r="L100" s="25">
        <f t="shared" si="11"/>
        <v>0</v>
      </c>
      <c r="M100" s="284"/>
    </row>
    <row r="101" spans="1:13" ht="19.5" customHeight="1">
      <c r="A101" s="284"/>
      <c r="B101" s="780" t="str">
        <f t="shared" ref="B101" si="12">IF(C101&lt;&gt;"",ROW()-11,"")</f>
        <v/>
      </c>
      <c r="C101" s="285"/>
      <c r="D101" s="286"/>
      <c r="E101" s="25"/>
      <c r="F101" s="25"/>
      <c r="G101" s="25"/>
      <c r="H101" s="25"/>
      <c r="I101" s="25"/>
      <c r="J101" s="25"/>
      <c r="K101" s="25"/>
      <c r="L101" s="25"/>
      <c r="M101" s="284"/>
    </row>
    <row r="102" spans="1:13" ht="19.5" customHeight="1">
      <c r="A102" s="284" t="str">
        <f t="shared" ref="A102" si="13">IF(B102&lt;&gt;"","NL","")</f>
        <v/>
      </c>
      <c r="B102" s="283"/>
      <c r="C102" s="290" t="s">
        <v>352</v>
      </c>
      <c r="D102" s="283"/>
      <c r="E102" s="13">
        <f t="shared" ref="E102:L102" si="14">SUM(E12:E101)</f>
        <v>0</v>
      </c>
      <c r="F102" s="13">
        <f t="shared" si="14"/>
        <v>0</v>
      </c>
      <c r="G102" s="13">
        <f t="shared" si="14"/>
        <v>17412</v>
      </c>
      <c r="H102" s="13">
        <f t="shared" si="14"/>
        <v>192756702</v>
      </c>
      <c r="I102" s="13">
        <f t="shared" si="14"/>
        <v>0</v>
      </c>
      <c r="J102" s="13">
        <f t="shared" si="14"/>
        <v>0</v>
      </c>
      <c r="K102" s="13">
        <f t="shared" si="14"/>
        <v>17412</v>
      </c>
      <c r="L102" s="13">
        <f t="shared" si="14"/>
        <v>192756702</v>
      </c>
      <c r="M102" s="284"/>
    </row>
    <row r="103" spans="1:13" ht="19.5" customHeight="1">
      <c r="A103" s="284"/>
      <c r="B103" s="470"/>
      <c r="C103" s="471"/>
      <c r="D103" s="470"/>
      <c r="E103" s="472">
        <f>F102-F103</f>
        <v>0</v>
      </c>
      <c r="F103" s="472">
        <f>CDPS!C20</f>
        <v>0</v>
      </c>
      <c r="G103" s="472">
        <f>H102-H103</f>
        <v>0</v>
      </c>
      <c r="H103" s="472">
        <f>CDPS!E25</f>
        <v>192756702</v>
      </c>
      <c r="I103" s="472">
        <f>J102-J103</f>
        <v>0</v>
      </c>
      <c r="J103" s="472">
        <f>CDPS!F25</f>
        <v>0</v>
      </c>
      <c r="K103" s="472">
        <f>L102-L103</f>
        <v>0</v>
      </c>
      <c r="L103" s="472">
        <f>CDPS!G25</f>
        <v>192756702</v>
      </c>
      <c r="M103" s="284"/>
    </row>
    <row r="104" spans="1:13" ht="18.75" customHeight="1"/>
    <row r="105" spans="1:13" ht="19.5" customHeight="1"/>
    <row r="106" spans="1:13" ht="19.5" customHeight="1">
      <c r="C106" s="936"/>
      <c r="D106" s="936"/>
      <c r="E106" s="936"/>
      <c r="F106" s="838"/>
      <c r="G106" s="838"/>
      <c r="H106" s="838"/>
      <c r="I106" s="838"/>
      <c r="J106" s="936" t="s">
        <v>586</v>
      </c>
      <c r="K106" s="936"/>
      <c r="L106" s="936"/>
    </row>
    <row r="107" spans="1:13" ht="19.5" customHeight="1">
      <c r="C107" s="839"/>
      <c r="D107" s="839"/>
      <c r="E107" s="839"/>
      <c r="F107" s="936"/>
      <c r="G107" s="936"/>
      <c r="H107" s="936"/>
      <c r="I107" s="838"/>
      <c r="J107" s="936" t="s">
        <v>109</v>
      </c>
      <c r="K107" s="936"/>
      <c r="L107" s="936"/>
    </row>
    <row r="108" spans="1:13" ht="19.5" customHeight="1">
      <c r="C108" s="839"/>
      <c r="D108" s="839"/>
      <c r="E108" s="839"/>
      <c r="F108" s="936"/>
      <c r="G108" s="936"/>
      <c r="H108" s="936"/>
      <c r="I108" s="279"/>
      <c r="J108" s="936" t="s">
        <v>136</v>
      </c>
      <c r="K108" s="936"/>
      <c r="L108" s="936"/>
    </row>
    <row r="109" spans="1:13" ht="20.25" customHeight="1"/>
    <row r="110" spans="1:13" ht="20.25" customHeight="1"/>
    <row r="111" spans="1:13" ht="20.25" customHeight="1"/>
    <row r="112" spans="1:13" ht="20.25" customHeight="1"/>
    <row r="113" ht="20.25" customHeight="1"/>
    <row r="114" ht="20.25" customHeight="1"/>
    <row r="115" ht="20.2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</sheetData>
  <autoFilter ref="A11:N103"/>
  <sortState ref="A12:N42">
    <sortCondition ref="C12:C42"/>
  </sortState>
  <mergeCells count="20">
    <mergeCell ref="C7:L7"/>
    <mergeCell ref="F108:H108"/>
    <mergeCell ref="J108:L108"/>
    <mergeCell ref="C106:E106"/>
    <mergeCell ref="J106:L106"/>
    <mergeCell ref="F107:H107"/>
    <mergeCell ref="J107:L10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B37" sqref="B37"/>
    </sheetView>
  </sheetViews>
  <sheetFormatPr defaultRowHeight="12"/>
  <cols>
    <col min="1" max="1" width="4.7109375" style="296" customWidth="1"/>
    <col min="2" max="2" width="29.7109375" style="296" customWidth="1"/>
    <col min="3" max="3" width="5.7109375" style="296" customWidth="1"/>
    <col min="4" max="4" width="6.7109375" style="296" customWidth="1"/>
    <col min="5" max="5" width="12.7109375" style="296" customWidth="1"/>
    <col min="6" max="6" width="9.85546875" style="296" customWidth="1"/>
    <col min="7" max="7" width="11" style="296" customWidth="1"/>
    <col min="8" max="8" width="14" style="296" customWidth="1"/>
    <col min="9" max="9" width="4.28515625" style="296" customWidth="1"/>
    <col min="10" max="10" width="7.5703125" style="296" customWidth="1"/>
    <col min="11" max="11" width="3.140625" style="296" customWidth="1"/>
    <col min="12" max="12" width="5.7109375" style="296" customWidth="1"/>
    <col min="13" max="13" width="2.7109375" style="296" customWidth="1"/>
    <col min="14" max="14" width="4" style="296" customWidth="1"/>
    <col min="15" max="15" width="3.7109375" style="296" customWidth="1"/>
    <col min="16" max="16384" width="9.140625" style="296"/>
  </cols>
  <sheetData>
    <row r="1" spans="1:17" ht="5.25" hidden="1" customHeight="1"/>
    <row r="2" spans="1:17" s="659" customFormat="1" ht="12" customHeight="1">
      <c r="A2" s="658" t="str">
        <f>TH!A1</f>
        <v>Đơn vị: CÔNG TY TNHH MỘT THÀNH VIÊN KHỞI NGUYÊN AN</v>
      </c>
      <c r="G2" s="660" t="str">
        <f>+IF(LEFT($D$7,1)="N","Mẫu số 01 - VT","Mẫu số 02 - VT")</f>
        <v>Mẫu số 01 - VT</v>
      </c>
    </row>
    <row r="3" spans="1:17" s="659" customFormat="1" ht="12" customHeight="1">
      <c r="A3" s="977" t="str">
        <f>TH!A2</f>
        <v>Địa chỉ: Thửa đất số 144, tờ bản đồ số 12TĐH.1, tổ 1, khu phố Đông Tác, Phường Tân Đông Hiệp, Thị Xã Dĩ An, Tỉnh Bình Dương, Việt Nam</v>
      </c>
      <c r="B3" s="977"/>
      <c r="C3" s="977"/>
      <c r="D3" s="977"/>
      <c r="E3" s="977"/>
      <c r="G3" s="69" t="str">
        <f ca="1">IF(INT(RIGHT($D$6,4))&gt;=2015,"(Ban hành theo Thông tư số 200/2014/TT-BTC ","(Ban hành kèm theo QĐ 48/2006/QĐ-BTC")</f>
        <v>(Ban hành kèm theo QĐ 48/2006/QĐ-BTC</v>
      </c>
      <c r="N3" s="660" t="s">
        <v>104</v>
      </c>
      <c r="O3" s="661"/>
      <c r="P3" s="662">
        <f>IF(J5="Quý I",1,IF(J5="Quý II",4,IF(J5="Quý III",7,IF(J5="Quý IV",10,""))))</f>
        <v>7</v>
      </c>
      <c r="Q3" s="662">
        <f>IF(J5="Quý I",3,IF(J5="Quý II",6,IF(J5="Quý III",9,IF(J5="Quý IV",12,""))))</f>
        <v>9</v>
      </c>
    </row>
    <row r="4" spans="1:17" s="659" customFormat="1" ht="12" customHeight="1" thickBot="1">
      <c r="A4" s="977"/>
      <c r="B4" s="977"/>
      <c r="C4" s="977"/>
      <c r="D4" s="977"/>
      <c r="E4" s="977"/>
      <c r="G4" s="69" t="str">
        <f ca="1">IF(INT(RIGHT($D$6,4))&gt;=2015,"Ngày 22/12/2014 của Bộ Tài chính)","ngày 24/09/2006 của Bộ trưởng BTC)")</f>
        <v>ngày 24/09/2006 của Bộ trưởng BTC)</v>
      </c>
      <c r="J4" s="663"/>
      <c r="M4" s="664"/>
      <c r="N4" s="660" t="s">
        <v>105</v>
      </c>
      <c r="O4" s="661"/>
    </row>
    <row r="5" spans="1:17" ht="18" customHeight="1" thickBot="1">
      <c r="D5" s="300" t="str">
        <f>+IF(LEFT($L$5,1)="N","PHIẾU NHẬP KHO","PHIẾU XUẤT KHO")</f>
        <v>PHIẾU NHẬP KHO</v>
      </c>
      <c r="J5" s="655" t="s">
        <v>577</v>
      </c>
      <c r="K5" s="301"/>
      <c r="L5" s="656" t="s">
        <v>743</v>
      </c>
      <c r="M5" s="302"/>
      <c r="N5" s="657">
        <v>1</v>
      </c>
      <c r="O5" s="297"/>
      <c r="P5" s="297"/>
    </row>
    <row r="6" spans="1:17" ht="10.5" customHeight="1">
      <c r="D6" s="66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  tháng  9  năm  2012</v>
      </c>
      <c r="E6" s="667"/>
      <c r="M6" s="299"/>
      <c r="O6" s="297"/>
    </row>
    <row r="7" spans="1:17" ht="10.5" customHeight="1">
      <c r="C7" s="668" t="str">
        <f xml:space="preserve"> "Số:"</f>
        <v>Số:</v>
      </c>
      <c r="D7" s="669" t="str">
        <f xml:space="preserve"> LEFT($L$5,1)&amp;IF($N$5&gt;=10,$N$5,"0"&amp;$N$5)</f>
        <v>N01</v>
      </c>
      <c r="G7" s="296" t="str">
        <f ca="1">"Nợ:  "&amp;IF(ROWS($1:1)&gt;COUNT(Dong10),"",OFFSET(TH!L$1,SMALL(Dong10,ROWS($1:1)),))</f>
        <v>Nợ:  156</v>
      </c>
      <c r="M7" s="299"/>
      <c r="O7" s="297"/>
    </row>
    <row r="8" spans="1:17" ht="10.5" customHeight="1">
      <c r="D8" s="69"/>
      <c r="G8" s="296" t="str">
        <f ca="1">"Có:  "&amp;IF(ROWS($1:1)&gt;COUNT(Dong10),"",OFFSET(TH!M$1,SMALL(Dong10,ROWS($1:1)),))</f>
        <v>Có:  331</v>
      </c>
      <c r="M8" s="299"/>
      <c r="O8" s="670"/>
    </row>
    <row r="9" spans="1:17" ht="11.25" customHeight="1">
      <c r="A9" s="296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TM Và Dịch Vụ Phúc Vinh                                         Địa chỉ (bộ phận) :     Sản Xuất </v>
      </c>
      <c r="M9" s="299"/>
    </row>
    <row r="10" spans="1:17" ht="11.25" customHeight="1">
      <c r="A10" s="296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296" t="str">
        <f>+IF(LEFT($D$7,1)="N","của………………………………………………………………………………………………………………………………....","Xuất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296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78" t="s">
        <v>35</v>
      </c>
      <c r="B14" s="978" t="s">
        <v>204</v>
      </c>
      <c r="C14" s="978" t="s">
        <v>205</v>
      </c>
      <c r="D14" s="978" t="s">
        <v>197</v>
      </c>
      <c r="E14" s="980" t="s">
        <v>206</v>
      </c>
      <c r="F14" s="980"/>
      <c r="G14" s="978" t="s">
        <v>207</v>
      </c>
      <c r="H14" s="978" t="s">
        <v>208</v>
      </c>
    </row>
    <row r="15" spans="1:17" ht="12.75" customHeight="1">
      <c r="A15" s="979"/>
      <c r="B15" s="979"/>
      <c r="C15" s="979"/>
      <c r="D15" s="979"/>
      <c r="E15" s="671" t="s">
        <v>209</v>
      </c>
      <c r="F15" s="671" t="str">
        <f>IF(LEFT($D$7,1)="N","Thực nhập","Thực xuất")</f>
        <v>Thực nhập</v>
      </c>
      <c r="G15" s="979"/>
      <c r="H15" s="979"/>
    </row>
    <row r="16" spans="1:17" s="69" customFormat="1" ht="8.25" customHeight="1">
      <c r="A16" s="672" t="s">
        <v>2</v>
      </c>
      <c r="B16" s="672" t="s">
        <v>3</v>
      </c>
      <c r="C16" s="672" t="s">
        <v>4</v>
      </c>
      <c r="D16" s="672" t="s">
        <v>5</v>
      </c>
      <c r="E16" s="672">
        <v>1</v>
      </c>
      <c r="F16" s="672">
        <v>2</v>
      </c>
      <c r="G16" s="672">
        <v>3</v>
      </c>
      <c r="H16" s="672">
        <v>4</v>
      </c>
    </row>
    <row r="17" spans="1:8" ht="11.25" customHeight="1">
      <c r="A17" s="673">
        <f ca="1">IF(B17="","",ROW()-16)</f>
        <v>1</v>
      </c>
      <c r="B17" s="674" t="str">
        <f ca="1">IF(ROWS($1:1)&gt;COUNT(Dong10),"",OFFSET(TH!F$1,SMALL(Dong10,ROWS($1:1)),))</f>
        <v>Giấy tấm 1N +2X (110x162)</v>
      </c>
      <c r="C17" s="675"/>
      <c r="D17" s="676" t="str">
        <f ca="1">IF(ISNA(VLOOKUP(B17,NXT!$C$12:$D$103,2,0)),"",VLOOKUP(B17,NXT!$C$12:$D$103,2,0))</f>
        <v>tấm</v>
      </c>
      <c r="E17" s="677"/>
      <c r="F17" s="678">
        <f ca="1">IF(ROWS($1:1)&gt;COUNT(Dong10),"",OFFSET(TH!I$1,SMALL(Dong10,ROWS($1:1)),))</f>
        <v>600</v>
      </c>
      <c r="G17" s="678">
        <f ca="1">IF(ROWS($1:1)&gt;COUNT(Dong10),"",OFFSET(TH!J$1,SMALL(Dong10,ROWS($1:1)),))</f>
        <v>11048</v>
      </c>
      <c r="H17" s="677">
        <f ca="1">IF(F17&lt;&gt;"",ROUND(F17*G17,0),0)</f>
        <v>6628800</v>
      </c>
    </row>
    <row r="18" spans="1:8" ht="11.25" customHeight="1">
      <c r="A18" s="673">
        <f t="shared" ref="A18:A20" ca="1" si="0">IF(B18="","",A17+1)</f>
        <v>2</v>
      </c>
      <c r="B18" s="674" t="str">
        <f ca="1">IF(ROWS($1:2)&gt;COUNT(Dong10),"",OFFSET(TH!F$1,SMALL(Dong10,ROWS($1:2)),))</f>
        <v>Giấy tấm 1N +2X (110x159)</v>
      </c>
      <c r="C18" s="675"/>
      <c r="D18" s="676" t="str">
        <f ca="1">IF(ISNA(VLOOKUP(B18,NXT!$C$12:$D$103,2,0)),"",VLOOKUP(B18,NXT!$C$12:$D$103,2,0))</f>
        <v>tấm</v>
      </c>
      <c r="E18" s="677"/>
      <c r="F18" s="678">
        <f ca="1">IF(ROWS($1:2)&gt;COUNT(Dong10),"",OFFSET(TH!I$1,SMALL(Dong10,ROWS($1:2)),))</f>
        <v>600</v>
      </c>
      <c r="G18" s="678">
        <f ca="1">IF(ROWS($1:2)&gt;COUNT(Dong10),"",OFFSET(TH!J$1,SMALL(Dong10,ROWS($1:2)),))</f>
        <v>10844</v>
      </c>
      <c r="H18" s="677">
        <f t="shared" ref="H18:H24" ca="1" si="1">IF(F18&lt;&gt;"",ROUND(F18*G18,0),0)</f>
        <v>6506400</v>
      </c>
    </row>
    <row r="19" spans="1:8" ht="11.25" customHeight="1">
      <c r="A19" s="673" t="str">
        <f t="shared" ca="1" si="0"/>
        <v/>
      </c>
      <c r="B19" s="674" t="str">
        <f ca="1">IF(ROWS($1:3)&gt;COUNT(Dong10),"",OFFSET(TH!F$1,SMALL(Dong10,ROWS($1:3)),))</f>
        <v/>
      </c>
      <c r="C19" s="675"/>
      <c r="D19" s="676" t="str">
        <f ca="1">IF(ISNA(VLOOKUP(B19,NXT!$C$12:$D$103,2,0)),"",VLOOKUP(B19,NXT!$C$12:$D$103,2,0))</f>
        <v/>
      </c>
      <c r="E19" s="677"/>
      <c r="F19" s="678" t="str">
        <f ca="1">IF(ROWS($1:3)&gt;COUNT(Dong10),"",OFFSET(TH!I$1,SMALL(Dong10,ROWS($1:3)),))</f>
        <v/>
      </c>
      <c r="G19" s="678" t="str">
        <f ca="1">IF(ROWS($1:3)&gt;COUNT(Dong10),"",OFFSET(TH!J$1,SMALL(Dong10,ROWS($1:3)),))</f>
        <v/>
      </c>
      <c r="H19" s="677">
        <f t="shared" ca="1" si="1"/>
        <v>0</v>
      </c>
    </row>
    <row r="20" spans="1:8" ht="11.25" customHeight="1">
      <c r="A20" s="673" t="str">
        <f t="shared" ca="1" si="0"/>
        <v/>
      </c>
      <c r="B20" s="674" t="str">
        <f ca="1">IF(ROWS($1:4)&gt;COUNT(Dong10),"",OFFSET(TH!F$1,SMALL(Dong10,ROWS($1:4)),))</f>
        <v/>
      </c>
      <c r="C20" s="675"/>
      <c r="D20" s="676" t="str">
        <f ca="1">IF(ISNA(VLOOKUP(B20,NXT!$C$12:$D$103,2,0)),"",VLOOKUP(B20,NXT!$C$12:$D$103,2,0))</f>
        <v/>
      </c>
      <c r="E20" s="677"/>
      <c r="F20" s="678" t="str">
        <f ca="1">IF(ROWS($1:4)&gt;COUNT(Dong10),"",OFFSET(TH!I$1,SMALL(Dong10,ROWS($1:4)),))</f>
        <v/>
      </c>
      <c r="G20" s="678" t="str">
        <f ca="1">IF(ROWS($1:4)&gt;COUNT(Dong10),"",OFFSET(TH!J$1,SMALL(Dong10,ROWS($1:4)),))</f>
        <v/>
      </c>
      <c r="H20" s="677">
        <f t="shared" ca="1" si="1"/>
        <v>0</v>
      </c>
    </row>
    <row r="21" spans="1:8" ht="11.25" customHeight="1">
      <c r="A21" s="673" t="str">
        <f t="shared" ref="A21:A23" ca="1" si="2">IF(B21="","",A20+1)</f>
        <v/>
      </c>
      <c r="B21" s="674" t="str">
        <f ca="1">IF(ROWS($1:5)&gt;COUNT(Dong10),"",OFFSET(TH!F$1,SMALL(Dong10,ROWS($1:5)),))</f>
        <v/>
      </c>
      <c r="C21" s="675"/>
      <c r="D21" s="676" t="str">
        <f ca="1">IF(ISNA(VLOOKUP(B21,NXT!$C$12:$D$103,2,0)),"",VLOOKUP(B21,NXT!$C$12:$D$103,2,0))</f>
        <v/>
      </c>
      <c r="E21" s="677"/>
      <c r="F21" s="678" t="str">
        <f ca="1">IF(ROWS($1:5)&gt;COUNT(Dong10),"",OFFSET(TH!I$1,SMALL(Dong10,ROWS($1:5)),))</f>
        <v/>
      </c>
      <c r="G21" s="678" t="str">
        <f ca="1">IF(ROWS($1:5)&gt;COUNT(Dong10),"",OFFSET(TH!J$1,SMALL(Dong10,ROWS($1:5)),))</f>
        <v/>
      </c>
      <c r="H21" s="677">
        <f t="shared" ca="1" si="1"/>
        <v>0</v>
      </c>
    </row>
    <row r="22" spans="1:8" ht="11.25" customHeight="1">
      <c r="A22" s="673" t="str">
        <f t="shared" ca="1" si="2"/>
        <v/>
      </c>
      <c r="B22" s="674" t="str">
        <f ca="1">IF(ROWS($1:6)&gt;COUNT(Dong10),"",OFFSET(TH!F$1,SMALL(Dong10,ROWS($1:6)),))</f>
        <v/>
      </c>
      <c r="C22" s="675"/>
      <c r="D22" s="676" t="str">
        <f ca="1">IF(ISNA(VLOOKUP(B22,NXT!$C$12:$D$103,2,0)),"",VLOOKUP(B22,NXT!$C$12:$D$103,2,0))</f>
        <v/>
      </c>
      <c r="E22" s="677"/>
      <c r="F22" s="678" t="str">
        <f ca="1">IF(ROWS($1:6)&gt;COUNT(Dong10),"",OFFSET(TH!I$1,SMALL(Dong10,ROWS($1:6)),))</f>
        <v/>
      </c>
      <c r="G22" s="678" t="str">
        <f ca="1">IF(ROWS($1:6)&gt;COUNT(Dong10),"",OFFSET(TH!J$1,SMALL(Dong10,ROWS($1:6)),))</f>
        <v/>
      </c>
      <c r="H22" s="677">
        <f t="shared" ca="1" si="1"/>
        <v>0</v>
      </c>
    </row>
    <row r="23" spans="1:8" ht="11.25" customHeight="1">
      <c r="A23" s="673" t="str">
        <f t="shared" ca="1" si="2"/>
        <v/>
      </c>
      <c r="B23" s="674" t="str">
        <f ca="1">IF(ROWS($1:7)&gt;COUNT(Dong10),"",OFFSET(TH!F$1,SMALL(Dong10,ROWS($1:7)),))</f>
        <v/>
      </c>
      <c r="C23" s="675"/>
      <c r="D23" s="676" t="str">
        <f ca="1">IF(ISNA(VLOOKUP(B23,NXT!$C$12:$D$103,2,0)),"",VLOOKUP(B23,NXT!$C$12:$D$103,2,0))</f>
        <v/>
      </c>
      <c r="E23" s="677"/>
      <c r="F23" s="678" t="str">
        <f ca="1">IF(ROWS($1:7)&gt;COUNT(Dong10),"",OFFSET(TH!I$1,SMALL(Dong10,ROWS($1:7)),))</f>
        <v/>
      </c>
      <c r="G23" s="678" t="str">
        <f ca="1">IF(ROWS($1:7)&gt;COUNT(Dong10),"",OFFSET(TH!J$1,SMALL(Dong10,ROWS($1:7)),))</f>
        <v/>
      </c>
      <c r="H23" s="677">
        <f t="shared" ca="1" si="1"/>
        <v>0</v>
      </c>
    </row>
    <row r="24" spans="1:8" ht="11.25" customHeight="1">
      <c r="A24" s="673" t="str">
        <f t="shared" ref="A24" ca="1" si="3">IF(B24="","",A23+1)</f>
        <v/>
      </c>
      <c r="B24" s="674" t="str">
        <f ca="1">IF(ROWS($1:8)&gt;COUNT(Dong10),"",OFFSET(TH!F$1,SMALL(Dong10,ROWS($1:8)),))</f>
        <v/>
      </c>
      <c r="C24" s="675"/>
      <c r="D24" s="676" t="str">
        <f ca="1">IF(ISNA(VLOOKUP(B24,NXT!$C$12:$D$103,2,0)),"",VLOOKUP(B24,NXT!$C$12:$D$103,2,0))</f>
        <v/>
      </c>
      <c r="E24" s="677"/>
      <c r="F24" s="678" t="str">
        <f ca="1">IF(ROWS($1:8)&gt;COUNT(Dong10),"",OFFSET(TH!I$1,SMALL(Dong10,ROWS($1:8)),))</f>
        <v/>
      </c>
      <c r="G24" s="678" t="str">
        <f ca="1">IF(ROWS($1:8)&gt;COUNT(Dong10),"",OFFSET(TH!J$1,SMALL(Dong10,ROWS($1:8)),))</f>
        <v/>
      </c>
      <c r="H24" s="677">
        <f t="shared" ca="1" si="1"/>
        <v>0</v>
      </c>
    </row>
    <row r="25" spans="1:8" ht="11.25" customHeight="1">
      <c r="A25" s="673" t="str">
        <f t="shared" ref="A25" ca="1" si="4">IF(B25="","",A24+1)</f>
        <v/>
      </c>
      <c r="B25" s="674" t="str">
        <f ca="1">IF(ROWS($1:9)&gt;COUNT(Dong10),"",OFFSET(TH!F$1,SMALL(Dong10,ROWS($1:9)),))</f>
        <v/>
      </c>
      <c r="C25" s="675"/>
      <c r="D25" s="676" t="str">
        <f ca="1">IF(ISNA(VLOOKUP(B25,NXT!$C$12:$D$103,2,0)),"",VLOOKUP(B25,NXT!$C$12:$D$103,2,0))</f>
        <v/>
      </c>
      <c r="E25" s="677"/>
      <c r="F25" s="678" t="str">
        <f ca="1">IF(ROWS($1:9)&gt;COUNT(Dong10),"",OFFSET(TH!I$1,SMALL(Dong10,ROWS($1:9)),))</f>
        <v/>
      </c>
      <c r="G25" s="678" t="str">
        <f ca="1">IF(ROWS($1:9)&gt;COUNT(Dong10),"",OFFSET(TH!J$1,SMALL(Dong10,ROWS($1:9)),))</f>
        <v/>
      </c>
      <c r="H25" s="677">
        <f t="shared" ref="H25" ca="1" si="5">IF(F25&lt;&gt;"",ROUND(F25*G25,0),0)</f>
        <v>0</v>
      </c>
    </row>
    <row r="26" spans="1:8" ht="11.25" customHeight="1">
      <c r="A26" s="673"/>
      <c r="B26" s="674"/>
      <c r="C26" s="675"/>
      <c r="D26" s="676"/>
      <c r="E26" s="677"/>
      <c r="F26" s="678"/>
      <c r="G26" s="679"/>
      <c r="H26" s="677"/>
    </row>
    <row r="27" spans="1:8" ht="11.25" customHeight="1">
      <c r="A27" s="980" t="s">
        <v>210</v>
      </c>
      <c r="B27" s="980"/>
      <c r="C27" s="680"/>
      <c r="D27" s="680"/>
      <c r="E27" s="681"/>
      <c r="F27" s="681"/>
      <c r="G27" s="681"/>
      <c r="H27" s="681">
        <f ca="1">SUM(H17:H26)</f>
        <v>13135200</v>
      </c>
    </row>
    <row r="28" spans="1:8" ht="3" customHeight="1">
      <c r="A28" s="682"/>
      <c r="B28" s="682"/>
      <c r="C28" s="299"/>
      <c r="D28" s="299"/>
      <c r="E28" s="683"/>
      <c r="F28" s="683"/>
      <c r="G28" s="683"/>
      <c r="H28" s="683"/>
    </row>
    <row r="29" spans="1:8" ht="11.25" customHeight="1">
      <c r="A29" s="296" t="str">
        <f ca="1">"Tổng số tiền (viết bằng chữ):  "&amp;[4]!VND(H27, TRUE)</f>
        <v>Tổng số tiền (viết bằng chữ):  Mười ba triệu, một trăm ba mươi lăm ngàn, hai trăm đồng</v>
      </c>
    </row>
    <row r="30" spans="1:8" ht="11.25" customHeight="1">
      <c r="A30" s="296" t="str">
        <f ca="1">"Số chứng từ gốc kèm theo :  "&amp;IF(ROWS($1:1)&gt;COUNT(Dong10),"",IF(OFFSET(TH!G$1,SMALL(Dong10,ROWS($1:1)),)="","","HĐ "&amp;OFFSET(TH!G$1,SMALL(Dong10,ROWS($1:1)),)))</f>
        <v>Số chứng từ gốc kèm theo :  HĐ 0000762</v>
      </c>
    </row>
    <row r="31" spans="1:8" ht="11.25" customHeight="1">
      <c r="F31" s="69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  tháng  9  năm  2012</v>
      </c>
    </row>
    <row r="32" spans="1:8" s="298" customFormat="1" ht="11.25" customHeight="1">
      <c r="A32" s="684" t="s">
        <v>211</v>
      </c>
      <c r="C32" s="72"/>
      <c r="E32" s="72"/>
      <c r="F32" s="72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669" t="s">
        <v>212</v>
      </c>
      <c r="C33" s="69"/>
      <c r="E33" s="69"/>
      <c r="F33" s="69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669" t="str">
        <f>+IF(LEFT($D$7,1)="N","","  (Ký, họ tên)")</f>
        <v/>
      </c>
    </row>
    <row r="34" spans="1:8" ht="12.75" customHeight="1">
      <c r="G34" s="69"/>
    </row>
    <row r="35" spans="1:8" ht="11.25" customHeight="1"/>
    <row r="36" spans="1:8" ht="11.25" customHeight="1"/>
    <row r="37" spans="1:8" ht="11.25" customHeight="1"/>
    <row r="38" spans="1:8" s="665" customFormat="1" ht="11.25" customHeight="1"/>
    <row r="39" spans="1:8" ht="11.25" customHeight="1">
      <c r="A39" s="304"/>
      <c r="F39" s="305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07" customWidth="1"/>
    <col min="2" max="2" width="8.5703125" style="307" customWidth="1"/>
    <col min="3" max="3" width="11" style="307" customWidth="1"/>
    <col min="4" max="4" width="41.7109375" style="307" customWidth="1"/>
    <col min="5" max="5" width="8" style="320" customWidth="1"/>
    <col min="6" max="6" width="8.85546875" style="307" customWidth="1"/>
    <col min="7" max="7" width="9" style="307" customWidth="1"/>
    <col min="8" max="8" width="14.140625" style="307" customWidth="1"/>
    <col min="9" max="9" width="8.85546875" style="307" customWidth="1"/>
    <col min="10" max="10" width="13.42578125" style="307" customWidth="1"/>
    <col min="11" max="11" width="10.140625" style="307" customWidth="1"/>
    <col min="12" max="12" width="13" style="307" customWidth="1"/>
    <col min="13" max="13" width="7.140625" style="307" customWidth="1"/>
    <col min="14" max="14" width="2" style="307" customWidth="1"/>
    <col min="15" max="15" width="5.5703125" style="307" customWidth="1"/>
    <col min="16" max="16" width="4.42578125" style="307" customWidth="1"/>
    <col min="17" max="16384" width="23.85546875" style="307"/>
  </cols>
  <sheetData>
    <row r="1" spans="1:17">
      <c r="A1" s="306" t="s">
        <v>213</v>
      </c>
      <c r="E1" s="307"/>
      <c r="O1" s="308"/>
    </row>
    <row r="2" spans="1:17" s="254" customFormat="1" ht="16.5" customHeight="1">
      <c r="B2" s="309" t="str">
        <f>TH!A1</f>
        <v>Đơn vị: CÔNG TY TNHH MỘT THÀNH VIÊN KHỞI NGUYÊN AN</v>
      </c>
      <c r="C2" s="310"/>
      <c r="D2" s="311"/>
      <c r="E2" s="312"/>
      <c r="F2" s="2"/>
      <c r="J2" s="988" t="s">
        <v>214</v>
      </c>
      <c r="K2" s="988"/>
      <c r="L2" s="988"/>
      <c r="M2" s="988"/>
      <c r="N2" s="313"/>
    </row>
    <row r="3" spans="1:17" s="254" customFormat="1" ht="16.5" customHeight="1">
      <c r="B3" s="605" t="str">
        <f>TH!A2</f>
        <v>Địa chỉ: Thửa đất số 144, tờ bản đồ số 12TĐH.1, tổ 1, khu phố Đông Tác, Phường Tân Đông Hiệp, Thị Xã Dĩ An, Tỉnh Bình Dương, Việt Nam</v>
      </c>
      <c r="C3" s="309"/>
      <c r="D3" s="309"/>
      <c r="E3" s="314"/>
      <c r="F3" s="309"/>
      <c r="J3" s="989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89"/>
      <c r="L3" s="989"/>
      <c r="M3" s="989"/>
      <c r="N3" s="315"/>
    </row>
    <row r="4" spans="1:17" s="254" customFormat="1" ht="16.5" customHeight="1">
      <c r="B4" s="309"/>
      <c r="C4" s="309"/>
      <c r="D4" s="309"/>
      <c r="E4" s="314"/>
      <c r="F4" s="309"/>
      <c r="J4" s="989"/>
      <c r="K4" s="989"/>
      <c r="L4" s="989"/>
      <c r="M4" s="989"/>
      <c r="N4" s="315"/>
    </row>
    <row r="5" spans="1:17" ht="18.75" customHeight="1">
      <c r="B5" s="990" t="s">
        <v>215</v>
      </c>
      <c r="C5" s="990"/>
      <c r="D5" s="990"/>
      <c r="E5" s="990"/>
      <c r="F5" s="990"/>
      <c r="G5" s="990"/>
      <c r="H5" s="990"/>
      <c r="I5" s="990"/>
      <c r="J5" s="990"/>
      <c r="K5" s="990"/>
      <c r="L5" s="990"/>
      <c r="M5" s="990"/>
      <c r="N5" s="316"/>
    </row>
    <row r="6" spans="1:17" s="317" customFormat="1" ht="12.75">
      <c r="B6" s="991" t="s">
        <v>216</v>
      </c>
      <c r="C6" s="991"/>
      <c r="D6" s="991"/>
      <c r="E6" s="991"/>
      <c r="F6" s="991"/>
      <c r="G6" s="991"/>
      <c r="H6" s="991"/>
      <c r="I6" s="991"/>
      <c r="J6" s="991"/>
      <c r="K6" s="991"/>
      <c r="L6" s="991"/>
      <c r="M6" s="991"/>
      <c r="N6" s="318"/>
    </row>
    <row r="7" spans="1:17">
      <c r="C7" s="319"/>
      <c r="D7" s="319"/>
      <c r="F7" s="321" t="s">
        <v>290</v>
      </c>
      <c r="G7" s="460" t="str">
        <f>IF($O$10="VL","1522",IF($O$10="NL","1521",IF($O$10="TP","155","")))</f>
        <v>1521</v>
      </c>
      <c r="H7" s="321" t="s">
        <v>217</v>
      </c>
      <c r="I7" s="319" t="str">
        <f>IF($O$10="NL","Nguyên Liệu",IF($O$10="TP","Thành Phẩm",IF($O$10="VL","Vật Liệu","")))</f>
        <v>Nguyên Liệu</v>
      </c>
      <c r="J7" s="319"/>
      <c r="K7" s="319"/>
      <c r="L7" s="319"/>
      <c r="M7" s="319"/>
      <c r="N7" s="320"/>
    </row>
    <row r="8" spans="1:17">
      <c r="B8" s="320"/>
      <c r="C8" s="319"/>
      <c r="D8" s="319"/>
      <c r="F8" s="320" t="s">
        <v>218</v>
      </c>
      <c r="H8" s="319"/>
      <c r="I8" s="319"/>
      <c r="J8" s="992" t="s">
        <v>709</v>
      </c>
      <c r="K8" s="992"/>
      <c r="L8" s="992"/>
      <c r="M8" s="319"/>
      <c r="N8" s="319"/>
    </row>
    <row r="9" spans="1:17">
      <c r="D9" s="322"/>
      <c r="E9" s="323"/>
      <c r="F9" s="322"/>
      <c r="G9" s="322"/>
      <c r="H9" s="322"/>
      <c r="I9" s="322"/>
      <c r="J9" s="322"/>
      <c r="K9" s="322" t="s">
        <v>123</v>
      </c>
      <c r="M9" s="324"/>
      <c r="N9" s="325"/>
    </row>
    <row r="10" spans="1:17" ht="15.75" customHeight="1">
      <c r="A10" s="982" t="s">
        <v>35</v>
      </c>
      <c r="B10" s="983" t="s">
        <v>1</v>
      </c>
      <c r="C10" s="983"/>
      <c r="D10" s="984" t="s">
        <v>0</v>
      </c>
      <c r="E10" s="984" t="s">
        <v>219</v>
      </c>
      <c r="F10" s="984" t="s">
        <v>207</v>
      </c>
      <c r="G10" s="986" t="s">
        <v>220</v>
      </c>
      <c r="H10" s="987"/>
      <c r="I10" s="986" t="s">
        <v>221</v>
      </c>
      <c r="J10" s="987"/>
      <c r="K10" s="986" t="s">
        <v>222</v>
      </c>
      <c r="L10" s="987"/>
      <c r="M10" s="984" t="s">
        <v>127</v>
      </c>
      <c r="N10" s="326"/>
      <c r="O10" s="327" t="s">
        <v>213</v>
      </c>
    </row>
    <row r="11" spans="1:17" ht="31.5" customHeight="1">
      <c r="A11" s="982"/>
      <c r="B11" s="328" t="s">
        <v>15</v>
      </c>
      <c r="C11" s="328" t="s">
        <v>32</v>
      </c>
      <c r="D11" s="984"/>
      <c r="E11" s="984"/>
      <c r="F11" s="984"/>
      <c r="G11" s="328" t="s">
        <v>206</v>
      </c>
      <c r="H11" s="328" t="s">
        <v>208</v>
      </c>
      <c r="I11" s="328" t="s">
        <v>206</v>
      </c>
      <c r="J11" s="328" t="s">
        <v>208</v>
      </c>
      <c r="K11" s="328" t="s">
        <v>206</v>
      </c>
      <c r="L11" s="328" t="s">
        <v>208</v>
      </c>
      <c r="M11" s="984"/>
      <c r="N11" s="326"/>
    </row>
    <row r="12" spans="1:17" s="320" customFormat="1">
      <c r="A12" s="329"/>
      <c r="B12" s="330" t="s">
        <v>2</v>
      </c>
      <c r="C12" s="331" t="s">
        <v>3</v>
      </c>
      <c r="D12" s="331" t="s">
        <v>4</v>
      </c>
      <c r="E12" s="330" t="s">
        <v>5</v>
      </c>
      <c r="F12" s="330">
        <v>1</v>
      </c>
      <c r="G12" s="330">
        <v>2</v>
      </c>
      <c r="H12" s="330" t="s">
        <v>223</v>
      </c>
      <c r="I12" s="330">
        <v>4</v>
      </c>
      <c r="J12" s="330" t="s">
        <v>224</v>
      </c>
      <c r="K12" s="330">
        <v>6</v>
      </c>
      <c r="L12" s="330" t="s">
        <v>225</v>
      </c>
      <c r="M12" s="330"/>
      <c r="N12" s="332"/>
    </row>
    <row r="13" spans="1:17">
      <c r="A13" s="333"/>
      <c r="B13" s="333"/>
      <c r="C13" s="333"/>
      <c r="D13" s="334" t="s">
        <v>144</v>
      </c>
      <c r="E13" s="335"/>
      <c r="F13" s="336"/>
      <c r="G13" s="336"/>
      <c r="H13" s="336"/>
      <c r="I13" s="336"/>
      <c r="J13" s="336"/>
      <c r="K13" s="337">
        <f>VLOOKUP($J$8,NXT!$C$12:$L$103,3,0)</f>
        <v>0</v>
      </c>
      <c r="L13" s="337">
        <f>VLOOKUP($J$8,NXT!$C$12:$L$103,4,0)</f>
        <v>0</v>
      </c>
      <c r="M13" s="336"/>
      <c r="N13" s="332"/>
    </row>
    <row r="14" spans="1:17">
      <c r="A14" s="303">
        <f ca="1">IF(B14="","",ROW()-13)</f>
        <v>1</v>
      </c>
      <c r="B14" s="338" t="str">
        <f ca="1">IF(ROWS($1:1)&gt;COUNT(Dong11),"",OFFSET(TH!D$1,SMALL(Dong11,ROWS($1:1)),))</f>
        <v>N11</v>
      </c>
      <c r="C14" s="339">
        <f ca="1">IF(ROWS($1:1)&gt;COUNT(Dong11),"",OFFSET(TH!E$1,SMALL(Dong11,ROWS($1:1)),))</f>
        <v>41246</v>
      </c>
      <c r="D14" s="340" t="str">
        <f ca="1">IF(ROWS($1:1)&gt;COUNT(Dong11),"",OFFSET(TH!H$1,SMALL(Dong11,ROWS($1:1)),))</f>
        <v>Cty TNHH SX TM Và Dịch Vụ Phúc Vinh</v>
      </c>
      <c r="E14" s="338" t="str">
        <f ca="1">IF(ROWS($1:1)&gt;COUNT(Dong11),"",IF(OFFSET(TH!L$1,SMALL(Dong11,ROWS($1:1)),)=$G$7,OFFSET(TH!M$1,SMALL(Dong11,ROWS($1:1)),),OFFSET(TH!L$1,SMALL(Dong11,ROWS($1:1)),)))</f>
        <v>156</v>
      </c>
      <c r="F14" s="341">
        <f ca="1">IF(ROWS($1:1)&gt;COUNT(Dong11),0,OFFSET(TH!J$1,SMALL(Dong11,ROWS($1:1)),))</f>
        <v>9672</v>
      </c>
      <c r="G14" s="341">
        <f ca="1">IF(ROWS($1:1)&gt;COUNT(Dong11),0,IF(MID(OFFSET(TH!D$1,SMALL(Dong11,ROWS($1:1)),),4,1)="N",OFFSET(TH!I$1,SMALL(Dong11,ROWS($1:1)),),0))</f>
        <v>0</v>
      </c>
      <c r="H14" s="342">
        <f ca="1">ROUND(F14*G14,0)</f>
        <v>0</v>
      </c>
      <c r="I14" s="341">
        <f ca="1">IF(ROWS($1:1)&gt;COUNT(Dong11),0,IF(MID(OFFSET(TH!D$1,SMALL(Dong11,ROWS($1:1)),),4,1)="X",OFFSET(TH!I$1,SMALL(Dong11,ROWS($1:1)),),0))</f>
        <v>0</v>
      </c>
      <c r="J14" s="342">
        <f ca="1">ROUND(F14*I14,0)</f>
        <v>0</v>
      </c>
      <c r="K14" s="342">
        <f ca="1">IF(D14&lt;&gt;"",K13+G14-I14,0)</f>
        <v>0</v>
      </c>
      <c r="L14" s="342">
        <f ca="1">IF(D14&lt;&gt;"",L13+H14-J14,0)</f>
        <v>0</v>
      </c>
      <c r="M14" s="342"/>
      <c r="N14" s="332"/>
    </row>
    <row r="15" spans="1:17">
      <c r="A15" s="303" t="str">
        <f t="shared" ref="A15:A24" ca="1" si="0">IF(B15="","",A14+1)</f>
        <v/>
      </c>
      <c r="B15" s="338" t="str">
        <f ca="1">IF(ROWS($1:2)&gt;COUNT(Dong11),"",OFFSET(TH!D$1,SMALL(Dong11,ROWS($1:2)),))</f>
        <v/>
      </c>
      <c r="C15" s="339" t="str">
        <f ca="1">IF(ROWS($1:2)&gt;COUNT(Dong11),"",OFFSET(TH!E$1,SMALL(Dong11,ROWS($1:2)),))</f>
        <v/>
      </c>
      <c r="D15" s="340" t="str">
        <f ca="1">IF(ROWS($1:2)&gt;COUNT(Dong11),"",OFFSET(TH!H$1,SMALL(Dong11,ROWS($1:2)),))</f>
        <v/>
      </c>
      <c r="E15" s="338" t="str">
        <f ca="1">IF(ROWS($1:2)&gt;COUNT(Dong11),"",IF(OFFSET(TH!L$1,SMALL(Dong11,ROWS($1:2)),)=$G$7,OFFSET(TH!M$1,SMALL(Dong11,ROWS($1:2)),),OFFSET(TH!L$1,SMALL(Dong11,ROWS($1:2)),)))</f>
        <v/>
      </c>
      <c r="F15" s="341">
        <f ca="1">IF(ROWS($1:2)&gt;COUNT(Dong11),0,OFFSET(TH!J$1,SMALL(Dong11,ROWS($1:2)),))</f>
        <v>0</v>
      </c>
      <c r="G15" s="341">
        <f ca="1">IF(ROWS($1:2)&gt;COUNT(Dong11),0,IF(MID(OFFSET(TH!D$1,SMALL(Dong11,ROWS($1:2)),),4,1)="N",OFFSET(TH!I$1,SMALL(Dong11,ROWS($1:2)),),0))</f>
        <v>0</v>
      </c>
      <c r="H15" s="342">
        <f t="shared" ref="H15:H24" ca="1" si="1">ROUND(F15*G15,0)</f>
        <v>0</v>
      </c>
      <c r="I15" s="341">
        <f ca="1">IF(ROWS($1:2)&gt;COUNT(Dong11),0,IF(MID(OFFSET(TH!D$1,SMALL(Dong11,ROWS($1:2)),),4,1)="X",OFFSET(TH!I$1,SMALL(Dong11,ROWS($1:2)),),0))</f>
        <v>0</v>
      </c>
      <c r="J15" s="342">
        <f t="shared" ref="J15:J24" ca="1" si="2">ROUND(F15*I15,0)</f>
        <v>0</v>
      </c>
      <c r="K15" s="342">
        <f t="shared" ref="K15:K24" ca="1" si="3">IF(D15&lt;&gt;"",K14+G15-I15,0)</f>
        <v>0</v>
      </c>
      <c r="L15" s="342">
        <f t="shared" ref="L15:L24" ca="1" si="4">IF(D15&lt;&gt;"",L14+H15-J15,0)</f>
        <v>0</v>
      </c>
      <c r="M15" s="342"/>
      <c r="N15" s="332"/>
      <c r="Q15" s="343"/>
    </row>
    <row r="16" spans="1:17">
      <c r="A16" s="303" t="str">
        <f t="shared" ca="1" si="0"/>
        <v/>
      </c>
      <c r="B16" s="338" t="str">
        <f ca="1">IF(ROWS($1:3)&gt;COUNT(Dong11),"",OFFSET(TH!D$1,SMALL(Dong11,ROWS($1:3)),))</f>
        <v/>
      </c>
      <c r="C16" s="339" t="str">
        <f ca="1">IF(ROWS($1:3)&gt;COUNT(Dong11),"",OFFSET(TH!E$1,SMALL(Dong11,ROWS($1:3)),))</f>
        <v/>
      </c>
      <c r="D16" s="340" t="str">
        <f ca="1">IF(ROWS($1:3)&gt;COUNT(Dong11),"",OFFSET(TH!H$1,SMALL(Dong11,ROWS($1:3)),))</f>
        <v/>
      </c>
      <c r="E16" s="338" t="str">
        <f ca="1">IF(ROWS($1:3)&gt;COUNT(Dong11),"",IF(OFFSET(TH!L$1,SMALL(Dong11,ROWS($1:3)),)=$G$7,OFFSET(TH!M$1,SMALL(Dong11,ROWS($1:3)),),OFFSET(TH!L$1,SMALL(Dong11,ROWS($1:3)),)))</f>
        <v/>
      </c>
      <c r="F16" s="341">
        <f ca="1">IF(ROWS($1:3)&gt;COUNT(Dong11),0,OFFSET(TH!J$1,SMALL(Dong11,ROWS($1:3)),))</f>
        <v>0</v>
      </c>
      <c r="G16" s="341">
        <f ca="1">IF(ROWS($1:3)&gt;COUNT(Dong11),0,IF(MID(OFFSET(TH!D$1,SMALL(Dong11,ROWS($1:3)),),4,1)="N",OFFSET(TH!I$1,SMALL(Dong11,ROWS($1:3)),),0))</f>
        <v>0</v>
      </c>
      <c r="H16" s="342">
        <f t="shared" ca="1" si="1"/>
        <v>0</v>
      </c>
      <c r="I16" s="341">
        <f ca="1">IF(ROWS($1:3)&gt;COUNT(Dong11),0,IF(MID(OFFSET(TH!D$1,SMALL(Dong11,ROWS($1:3)),),4,1)="X",OFFSET(TH!I$1,SMALL(Dong11,ROWS($1:3)),),0))</f>
        <v>0</v>
      </c>
      <c r="J16" s="342">
        <f t="shared" ca="1" si="2"/>
        <v>0</v>
      </c>
      <c r="K16" s="342">
        <f t="shared" ca="1" si="3"/>
        <v>0</v>
      </c>
      <c r="L16" s="342">
        <f t="shared" ca="1" si="4"/>
        <v>0</v>
      </c>
      <c r="M16" s="342"/>
      <c r="N16" s="332"/>
    </row>
    <row r="17" spans="1:16">
      <c r="A17" s="303" t="str">
        <f t="shared" ca="1" si="0"/>
        <v/>
      </c>
      <c r="B17" s="338" t="str">
        <f ca="1">IF(ROWS($1:4)&gt;COUNT(Dong11),"",OFFSET(TH!D$1,SMALL(Dong11,ROWS($1:4)),))</f>
        <v/>
      </c>
      <c r="C17" s="339" t="str">
        <f ca="1">IF(ROWS($1:4)&gt;COUNT(Dong11),"",OFFSET(TH!E$1,SMALL(Dong11,ROWS($1:4)),))</f>
        <v/>
      </c>
      <c r="D17" s="340" t="str">
        <f ca="1">IF(ROWS($1:4)&gt;COUNT(Dong11),"",OFFSET(TH!H$1,SMALL(Dong11,ROWS($1:4)),))</f>
        <v/>
      </c>
      <c r="E17" s="338" t="str">
        <f ca="1">IF(ROWS($1:4)&gt;COUNT(Dong11),"",IF(OFFSET(TH!L$1,SMALL(Dong11,ROWS($1:4)),)=$G$7,OFFSET(TH!M$1,SMALL(Dong11,ROWS($1:4)),),OFFSET(TH!L$1,SMALL(Dong11,ROWS($1:4)),)))</f>
        <v/>
      </c>
      <c r="F17" s="341">
        <f ca="1">IF(ROWS($1:4)&gt;COUNT(Dong11),0,OFFSET(TH!J$1,SMALL(Dong11,ROWS($1:4)),))</f>
        <v>0</v>
      </c>
      <c r="G17" s="341">
        <f ca="1">IF(ROWS($1:4)&gt;COUNT(Dong11),0,IF(MID(OFFSET(TH!D$1,SMALL(Dong11,ROWS($1:4)),),4,1)="N",OFFSET(TH!I$1,SMALL(Dong11,ROWS($1:4)),),0))</f>
        <v>0</v>
      </c>
      <c r="H17" s="342">
        <f t="shared" ca="1" si="1"/>
        <v>0</v>
      </c>
      <c r="I17" s="341">
        <f ca="1">IF(ROWS($1:4)&gt;COUNT(Dong11),0,IF(MID(OFFSET(TH!D$1,SMALL(Dong11,ROWS($1:4)),),4,1)="X",OFFSET(TH!I$1,SMALL(Dong11,ROWS($1:4)),),0))</f>
        <v>0</v>
      </c>
      <c r="J17" s="342">
        <f t="shared" ca="1" si="2"/>
        <v>0</v>
      </c>
      <c r="K17" s="342">
        <f t="shared" ca="1" si="3"/>
        <v>0</v>
      </c>
      <c r="L17" s="342">
        <f t="shared" ca="1" si="4"/>
        <v>0</v>
      </c>
      <c r="M17" s="342"/>
      <c r="N17" s="332"/>
      <c r="P17" s="344"/>
    </row>
    <row r="18" spans="1:16">
      <c r="A18" s="303" t="str">
        <f t="shared" ca="1" si="0"/>
        <v/>
      </c>
      <c r="B18" s="338" t="str">
        <f ca="1">IF(ROWS($1:5)&gt;COUNT(Dong11),"",OFFSET(TH!D$1,SMALL(Dong11,ROWS($1:5)),))</f>
        <v/>
      </c>
      <c r="C18" s="339" t="str">
        <f ca="1">IF(ROWS($1:5)&gt;COUNT(Dong11),"",OFFSET(TH!E$1,SMALL(Dong11,ROWS($1:5)),))</f>
        <v/>
      </c>
      <c r="D18" s="340" t="str">
        <f ca="1">IF(ROWS($1:5)&gt;COUNT(Dong11),"",OFFSET(TH!H$1,SMALL(Dong11,ROWS($1:5)),))</f>
        <v/>
      </c>
      <c r="E18" s="338" t="str">
        <f ca="1">IF(ROWS($1:5)&gt;COUNT(Dong11),"",IF(OFFSET(TH!L$1,SMALL(Dong11,ROWS($1:5)),)=$G$7,OFFSET(TH!M$1,SMALL(Dong11,ROWS($1:5)),),OFFSET(TH!L$1,SMALL(Dong11,ROWS($1:5)),)))</f>
        <v/>
      </c>
      <c r="F18" s="341">
        <f ca="1">IF(ROWS($1:5)&gt;COUNT(Dong11),0,OFFSET(TH!J$1,SMALL(Dong11,ROWS($1:5)),))</f>
        <v>0</v>
      </c>
      <c r="G18" s="341">
        <f ca="1">IF(ROWS($1:5)&gt;COUNT(Dong11),0,IF(MID(OFFSET(TH!D$1,SMALL(Dong11,ROWS($1:5)),),4,1)="N",OFFSET(TH!I$1,SMALL(Dong11,ROWS($1:5)),),0))</f>
        <v>0</v>
      </c>
      <c r="H18" s="342">
        <f t="shared" ca="1" si="1"/>
        <v>0</v>
      </c>
      <c r="I18" s="341">
        <f ca="1">IF(ROWS($1:5)&gt;COUNT(Dong11),0,IF(MID(OFFSET(TH!D$1,SMALL(Dong11,ROWS($1:5)),),4,1)="X",OFFSET(TH!I$1,SMALL(Dong11,ROWS($1:5)),),0))</f>
        <v>0</v>
      </c>
      <c r="J18" s="342">
        <f t="shared" ca="1" si="2"/>
        <v>0</v>
      </c>
      <c r="K18" s="342">
        <f t="shared" ca="1" si="3"/>
        <v>0</v>
      </c>
      <c r="L18" s="342">
        <f t="shared" ca="1" si="4"/>
        <v>0</v>
      </c>
      <c r="M18" s="342"/>
      <c r="N18" s="332"/>
    </row>
    <row r="19" spans="1:16">
      <c r="A19" s="303" t="str">
        <f t="shared" ca="1" si="0"/>
        <v/>
      </c>
      <c r="B19" s="338" t="str">
        <f ca="1">IF(ROWS($1:6)&gt;COUNT(Dong11),"",OFFSET(TH!D$1,SMALL(Dong11,ROWS($1:6)),))</f>
        <v/>
      </c>
      <c r="C19" s="339" t="str">
        <f ca="1">IF(ROWS($1:6)&gt;COUNT(Dong11),"",OFFSET(TH!E$1,SMALL(Dong11,ROWS($1:6)),))</f>
        <v/>
      </c>
      <c r="D19" s="340" t="str">
        <f ca="1">IF(ROWS($1:6)&gt;COUNT(Dong11),"",OFFSET(TH!H$1,SMALL(Dong11,ROWS($1:6)),))</f>
        <v/>
      </c>
      <c r="E19" s="338" t="str">
        <f ca="1">IF(ROWS($1:6)&gt;COUNT(Dong11),"",IF(OFFSET(TH!L$1,SMALL(Dong11,ROWS($1:6)),)=$G$7,OFFSET(TH!M$1,SMALL(Dong11,ROWS($1:6)),),OFFSET(TH!L$1,SMALL(Dong11,ROWS($1:6)),)))</f>
        <v/>
      </c>
      <c r="F19" s="341">
        <f ca="1">IF(ROWS($1:6)&gt;COUNT(Dong11),0,OFFSET(TH!J$1,SMALL(Dong11,ROWS($1:6)),))</f>
        <v>0</v>
      </c>
      <c r="G19" s="341">
        <f ca="1">IF(ROWS($1:6)&gt;COUNT(Dong11),0,IF(MID(OFFSET(TH!D$1,SMALL(Dong11,ROWS($1:6)),),4,1)="N",OFFSET(TH!I$1,SMALL(Dong11,ROWS($1:6)),),0))</f>
        <v>0</v>
      </c>
      <c r="H19" s="342">
        <f t="shared" ca="1" si="1"/>
        <v>0</v>
      </c>
      <c r="I19" s="341">
        <f ca="1">IF(ROWS($1:6)&gt;COUNT(Dong11),0,IF(MID(OFFSET(TH!D$1,SMALL(Dong11,ROWS($1:6)),),4,1)="X",OFFSET(TH!I$1,SMALL(Dong11,ROWS($1:6)),),0))</f>
        <v>0</v>
      </c>
      <c r="J19" s="342">
        <f t="shared" ca="1" si="2"/>
        <v>0</v>
      </c>
      <c r="K19" s="342">
        <f t="shared" ca="1" si="3"/>
        <v>0</v>
      </c>
      <c r="L19" s="342">
        <f t="shared" ca="1" si="4"/>
        <v>0</v>
      </c>
      <c r="M19" s="342"/>
      <c r="N19" s="332"/>
    </row>
    <row r="20" spans="1:16">
      <c r="A20" s="303" t="str">
        <f t="shared" ca="1" si="0"/>
        <v/>
      </c>
      <c r="B20" s="338" t="str">
        <f ca="1">IF(ROWS($1:7)&gt;COUNT(Dong11),"",OFFSET(TH!D$1,SMALL(Dong11,ROWS($1:7)),))</f>
        <v/>
      </c>
      <c r="C20" s="339" t="str">
        <f ca="1">IF(ROWS($1:7)&gt;COUNT(Dong11),"",OFFSET(TH!E$1,SMALL(Dong11,ROWS($1:7)),))</f>
        <v/>
      </c>
      <c r="D20" s="340" t="str">
        <f ca="1">IF(ROWS($1:7)&gt;COUNT(Dong11),"",OFFSET(TH!H$1,SMALL(Dong11,ROWS($1:7)),))</f>
        <v/>
      </c>
      <c r="E20" s="338" t="str">
        <f ca="1">IF(ROWS($1:7)&gt;COUNT(Dong11),"",IF(OFFSET(TH!L$1,SMALL(Dong11,ROWS($1:7)),)=$G$7,OFFSET(TH!M$1,SMALL(Dong11,ROWS($1:7)),),OFFSET(TH!L$1,SMALL(Dong11,ROWS($1:7)),)))</f>
        <v/>
      </c>
      <c r="F20" s="341">
        <f ca="1">IF(ROWS($1:7)&gt;COUNT(Dong11),0,OFFSET(TH!J$1,SMALL(Dong11,ROWS($1:7)),))</f>
        <v>0</v>
      </c>
      <c r="G20" s="341">
        <f ca="1">IF(ROWS($1:7)&gt;COUNT(Dong11),0,IF(MID(OFFSET(TH!D$1,SMALL(Dong11,ROWS($1:7)),),4,1)="N",OFFSET(TH!I$1,SMALL(Dong11,ROWS($1:7)),),0))</f>
        <v>0</v>
      </c>
      <c r="H20" s="342">
        <f t="shared" ca="1" si="1"/>
        <v>0</v>
      </c>
      <c r="I20" s="341">
        <f ca="1">IF(ROWS($1:7)&gt;COUNT(Dong11),0,IF(MID(OFFSET(TH!D$1,SMALL(Dong11,ROWS($1:7)),),4,1)="X",OFFSET(TH!I$1,SMALL(Dong11,ROWS($1:7)),),0))</f>
        <v>0</v>
      </c>
      <c r="J20" s="342">
        <f t="shared" ca="1" si="2"/>
        <v>0</v>
      </c>
      <c r="K20" s="342">
        <f t="shared" ca="1" si="3"/>
        <v>0</v>
      </c>
      <c r="L20" s="342">
        <f t="shared" ca="1" si="4"/>
        <v>0</v>
      </c>
      <c r="M20" s="342"/>
      <c r="N20" s="332"/>
    </row>
    <row r="21" spans="1:16">
      <c r="A21" s="303" t="str">
        <f t="shared" ca="1" si="0"/>
        <v/>
      </c>
      <c r="B21" s="338" t="str">
        <f ca="1">IF(ROWS($1:8)&gt;COUNT(Dong11),"",OFFSET(TH!D$1,SMALL(Dong11,ROWS($1:8)),))</f>
        <v/>
      </c>
      <c r="C21" s="339" t="str">
        <f ca="1">IF(ROWS($1:8)&gt;COUNT(Dong11),"",OFFSET(TH!E$1,SMALL(Dong11,ROWS($1:8)),))</f>
        <v/>
      </c>
      <c r="D21" s="340" t="str">
        <f ca="1">IF(ROWS($1:8)&gt;COUNT(Dong11),"",OFFSET(TH!H$1,SMALL(Dong11,ROWS($1:8)),))</f>
        <v/>
      </c>
      <c r="E21" s="338" t="str">
        <f ca="1">IF(ROWS($1:8)&gt;COUNT(Dong11),"",IF(OFFSET(TH!L$1,SMALL(Dong11,ROWS($1:8)),)=$G$7,OFFSET(TH!M$1,SMALL(Dong11,ROWS($1:8)),),OFFSET(TH!L$1,SMALL(Dong11,ROWS($1:8)),)))</f>
        <v/>
      </c>
      <c r="F21" s="341">
        <f ca="1">IF(ROWS($1:8)&gt;COUNT(Dong11),0,OFFSET(TH!J$1,SMALL(Dong11,ROWS($1:8)),))</f>
        <v>0</v>
      </c>
      <c r="G21" s="341">
        <f ca="1">IF(ROWS($1:8)&gt;COUNT(Dong11),0,IF(MID(OFFSET(TH!D$1,SMALL(Dong11,ROWS($1:8)),),4,1)="N",OFFSET(TH!I$1,SMALL(Dong11,ROWS($1:8)),),0))</f>
        <v>0</v>
      </c>
      <c r="H21" s="342">
        <f t="shared" ca="1" si="1"/>
        <v>0</v>
      </c>
      <c r="I21" s="341">
        <f ca="1">IF(ROWS($1:8)&gt;COUNT(Dong11),0,IF(MID(OFFSET(TH!D$1,SMALL(Dong11,ROWS($1:8)),),4,1)="X",OFFSET(TH!I$1,SMALL(Dong11,ROWS($1:8)),),0))</f>
        <v>0</v>
      </c>
      <c r="J21" s="342">
        <f t="shared" ca="1" si="2"/>
        <v>0</v>
      </c>
      <c r="K21" s="342">
        <f t="shared" ca="1" si="3"/>
        <v>0</v>
      </c>
      <c r="L21" s="342">
        <f t="shared" ca="1" si="4"/>
        <v>0</v>
      </c>
      <c r="M21" s="342"/>
      <c r="N21" s="332"/>
    </row>
    <row r="22" spans="1:16">
      <c r="A22" s="303" t="str">
        <f t="shared" ca="1" si="0"/>
        <v/>
      </c>
      <c r="B22" s="338" t="str">
        <f ca="1">IF(ROWS($1:9)&gt;COUNT(Dong11),"",OFFSET(TH!D$1,SMALL(Dong11,ROWS($1:9)),))</f>
        <v/>
      </c>
      <c r="C22" s="339" t="str">
        <f ca="1">IF(ROWS($1:9)&gt;COUNT(Dong11),"",OFFSET(TH!E$1,SMALL(Dong11,ROWS($1:9)),))</f>
        <v/>
      </c>
      <c r="D22" s="340" t="str">
        <f ca="1">IF(ROWS($1:9)&gt;COUNT(Dong11),"",OFFSET(TH!H$1,SMALL(Dong11,ROWS($1:9)),))</f>
        <v/>
      </c>
      <c r="E22" s="338" t="str">
        <f ca="1">IF(ROWS($1:9)&gt;COUNT(Dong11),"",IF(OFFSET(TH!L$1,SMALL(Dong11,ROWS($1:9)),)=$G$7,OFFSET(TH!M$1,SMALL(Dong11,ROWS($1:9)),),OFFSET(TH!L$1,SMALL(Dong11,ROWS($1:9)),)))</f>
        <v/>
      </c>
      <c r="F22" s="341">
        <f ca="1">IF(ROWS($1:9)&gt;COUNT(Dong11),0,OFFSET(TH!J$1,SMALL(Dong11,ROWS($1:9)),))</f>
        <v>0</v>
      </c>
      <c r="G22" s="341">
        <f ca="1">IF(ROWS($1:9)&gt;COUNT(Dong11),0,IF(MID(OFFSET(TH!D$1,SMALL(Dong11,ROWS($1:9)),),4,1)="N",OFFSET(TH!I$1,SMALL(Dong11,ROWS($1:9)),),0))</f>
        <v>0</v>
      </c>
      <c r="H22" s="342">
        <f t="shared" ca="1" si="1"/>
        <v>0</v>
      </c>
      <c r="I22" s="341">
        <f ca="1">IF(ROWS($1:9)&gt;COUNT(Dong11),0,IF(MID(OFFSET(TH!D$1,SMALL(Dong11,ROWS($1:9)),),4,1)="X",OFFSET(TH!I$1,SMALL(Dong11,ROWS($1:9)),),0))</f>
        <v>0</v>
      </c>
      <c r="J22" s="342">
        <f t="shared" ca="1" si="2"/>
        <v>0</v>
      </c>
      <c r="K22" s="342">
        <f t="shared" ca="1" si="3"/>
        <v>0</v>
      </c>
      <c r="L22" s="342">
        <f t="shared" ca="1" si="4"/>
        <v>0</v>
      </c>
      <c r="M22" s="342"/>
      <c r="N22" s="332"/>
    </row>
    <row r="23" spans="1:16">
      <c r="A23" s="303" t="str">
        <f t="shared" ca="1" si="0"/>
        <v/>
      </c>
      <c r="B23" s="338" t="str">
        <f ca="1">IF(ROWS($1:10)&gt;COUNT(Dong11),"",OFFSET(TH!D$1,SMALL(Dong11,ROWS($1:10)),))</f>
        <v/>
      </c>
      <c r="C23" s="339" t="str">
        <f ca="1">IF(ROWS($1:10)&gt;COUNT(Dong11),"",OFFSET(TH!E$1,SMALL(Dong11,ROWS($1:10)),))</f>
        <v/>
      </c>
      <c r="D23" s="340" t="str">
        <f ca="1">IF(ROWS($1:10)&gt;COUNT(Dong11),"",OFFSET(TH!H$1,SMALL(Dong11,ROWS($1:10)),))</f>
        <v/>
      </c>
      <c r="E23" s="338" t="str">
        <f ca="1">IF(ROWS($1:10)&gt;COUNT(Dong11),"",IF(OFFSET(TH!L$1,SMALL(Dong11,ROWS($1:10)),)=$G$7,OFFSET(TH!M$1,SMALL(Dong11,ROWS($1:10)),),OFFSET(TH!L$1,SMALL(Dong11,ROWS($1:10)),)))</f>
        <v/>
      </c>
      <c r="F23" s="341">
        <f ca="1">IF(ROWS($1:10)&gt;COUNT(Dong11),0,OFFSET(TH!J$1,SMALL(Dong11,ROWS($1:10)),))</f>
        <v>0</v>
      </c>
      <c r="G23" s="341">
        <f ca="1">IF(ROWS($1:10)&gt;COUNT(Dong11),0,IF(MID(OFFSET(TH!D$1,SMALL(Dong11,ROWS($1:10)),),4,1)="N",OFFSET(TH!I$1,SMALL(Dong11,ROWS($1:10)),),0))</f>
        <v>0</v>
      </c>
      <c r="H23" s="342">
        <f t="shared" ca="1" si="1"/>
        <v>0</v>
      </c>
      <c r="I23" s="341">
        <f ca="1">IF(ROWS($1:10)&gt;COUNT(Dong11),0,IF(MID(OFFSET(TH!D$1,SMALL(Dong11,ROWS($1:10)),),4,1)="X",OFFSET(TH!I$1,SMALL(Dong11,ROWS($1:10)),),0))</f>
        <v>0</v>
      </c>
      <c r="J23" s="342">
        <f t="shared" ca="1" si="2"/>
        <v>0</v>
      </c>
      <c r="K23" s="342">
        <f t="shared" ca="1" si="3"/>
        <v>0</v>
      </c>
      <c r="L23" s="342">
        <f t="shared" ca="1" si="4"/>
        <v>0</v>
      </c>
      <c r="M23" s="342"/>
      <c r="N23" s="332"/>
    </row>
    <row r="24" spans="1:16">
      <c r="A24" s="303" t="str">
        <f t="shared" ca="1" si="0"/>
        <v/>
      </c>
      <c r="B24" s="338" t="str">
        <f ca="1">IF(ROWS($1:11)&gt;COUNT(Dong11),"",OFFSET(TH!D$1,SMALL(Dong11,ROWS($1:11)),))</f>
        <v/>
      </c>
      <c r="C24" s="339" t="str">
        <f ca="1">IF(ROWS($1:11)&gt;COUNT(Dong11),"",OFFSET(TH!E$1,SMALL(Dong11,ROWS($1:11)),))</f>
        <v/>
      </c>
      <c r="D24" s="340" t="str">
        <f ca="1">IF(ROWS($1:11)&gt;COUNT(Dong11),"",OFFSET(TH!H$1,SMALL(Dong11,ROWS($1:11)),))</f>
        <v/>
      </c>
      <c r="E24" s="338" t="str">
        <f ca="1">IF(ROWS($1:11)&gt;COUNT(Dong11),"",IF(OFFSET(TH!L$1,SMALL(Dong11,ROWS($1:11)),)=$G$7,OFFSET(TH!M$1,SMALL(Dong11,ROWS($1:11)),),OFFSET(TH!L$1,SMALL(Dong11,ROWS($1:11)),)))</f>
        <v/>
      </c>
      <c r="F24" s="341">
        <f ca="1">IF(ROWS($1:11)&gt;COUNT(Dong11),0,OFFSET(TH!J$1,SMALL(Dong11,ROWS($1:11)),))</f>
        <v>0</v>
      </c>
      <c r="G24" s="341">
        <f ca="1">IF(ROWS($1:11)&gt;COUNT(Dong11),0,IF(MID(OFFSET(TH!D$1,SMALL(Dong11,ROWS($1:11)),),4,1)="N",OFFSET(TH!I$1,SMALL(Dong11,ROWS($1:11)),),0))</f>
        <v>0</v>
      </c>
      <c r="H24" s="342">
        <f t="shared" ca="1" si="1"/>
        <v>0</v>
      </c>
      <c r="I24" s="341">
        <f ca="1">IF(ROWS($1:11)&gt;COUNT(Dong11),0,IF(MID(OFFSET(TH!D$1,SMALL(Dong11,ROWS($1:11)),),4,1)="X",OFFSET(TH!I$1,SMALL(Dong11,ROWS($1:11)),),0))</f>
        <v>0</v>
      </c>
      <c r="J24" s="342">
        <f t="shared" ca="1" si="2"/>
        <v>0</v>
      </c>
      <c r="K24" s="342">
        <f t="shared" ca="1" si="3"/>
        <v>0</v>
      </c>
      <c r="L24" s="342">
        <f t="shared" ca="1" si="4"/>
        <v>0</v>
      </c>
      <c r="M24" s="342"/>
      <c r="N24" s="332"/>
    </row>
    <row r="25" spans="1:16">
      <c r="A25" s="303" t="str">
        <f t="shared" ref="A25:A38" ca="1" si="5">IF(B25="","",A24+1)</f>
        <v/>
      </c>
      <c r="B25" s="338" t="str">
        <f ca="1">IF(ROWS($1:12)&gt;COUNT(Dong11),"",OFFSET(TH!D$1,SMALL(Dong11,ROWS($1:12)),))</f>
        <v/>
      </c>
      <c r="C25" s="339" t="str">
        <f ca="1">IF(ROWS($1:12)&gt;COUNT(Dong11),"",OFFSET(TH!E$1,SMALL(Dong11,ROWS($1:12)),))</f>
        <v/>
      </c>
      <c r="D25" s="340" t="str">
        <f ca="1">IF(ROWS($1:12)&gt;COUNT(Dong11),"",OFFSET(TH!H$1,SMALL(Dong11,ROWS($1:12)),))</f>
        <v/>
      </c>
      <c r="E25" s="338" t="str">
        <f ca="1">IF(ROWS($1:12)&gt;COUNT(Dong11),"",IF(OFFSET(TH!L$1,SMALL(Dong11,ROWS($1:12)),)=$G$7,OFFSET(TH!M$1,SMALL(Dong11,ROWS($1:12)),),OFFSET(TH!L$1,SMALL(Dong11,ROWS($1:12)),)))</f>
        <v/>
      </c>
      <c r="F25" s="341">
        <f ca="1">IF(ROWS($1:12)&gt;COUNT(Dong11),0,OFFSET(TH!J$1,SMALL(Dong11,ROWS($1:12)),))</f>
        <v>0</v>
      </c>
      <c r="G25" s="341">
        <f ca="1">IF(ROWS($1:12)&gt;COUNT(Dong11),0,IF(MID(OFFSET(TH!D$1,SMALL(Dong11,ROWS($1:12)),),4,1)="N",OFFSET(TH!I$1,SMALL(Dong11,ROWS($1:12)),),0))</f>
        <v>0</v>
      </c>
      <c r="H25" s="342">
        <f t="shared" ref="H25:H38" ca="1" si="6">ROUND(F25*G25,0)</f>
        <v>0</v>
      </c>
      <c r="I25" s="341">
        <f ca="1">IF(ROWS($1:12)&gt;COUNT(Dong11),0,IF(MID(OFFSET(TH!D$1,SMALL(Dong11,ROWS($1:12)),),4,1)="X",OFFSET(TH!I$1,SMALL(Dong11,ROWS($1:12)),),0))</f>
        <v>0</v>
      </c>
      <c r="J25" s="342">
        <f t="shared" ref="J25:J38" ca="1" si="7">ROUND(F25*I25,0)</f>
        <v>0</v>
      </c>
      <c r="K25" s="342">
        <f t="shared" ref="K25:K38" ca="1" si="8">IF(D25&lt;&gt;"",K24+G25-I25,0)</f>
        <v>0</v>
      </c>
      <c r="L25" s="342">
        <f t="shared" ref="L25:L38" ca="1" si="9">IF(D25&lt;&gt;"",L24+H25-J25,0)</f>
        <v>0</v>
      </c>
      <c r="M25" s="342"/>
      <c r="N25" s="332"/>
    </row>
    <row r="26" spans="1:16">
      <c r="A26" s="303" t="str">
        <f t="shared" ca="1" si="5"/>
        <v/>
      </c>
      <c r="B26" s="338" t="str">
        <f ca="1">IF(ROWS($1:13)&gt;COUNT(Dong11),"",OFFSET(TH!D$1,SMALL(Dong11,ROWS($1:13)),))</f>
        <v/>
      </c>
      <c r="C26" s="339" t="str">
        <f ca="1">IF(ROWS($1:13)&gt;COUNT(Dong11),"",OFFSET(TH!E$1,SMALL(Dong11,ROWS($1:13)),))</f>
        <v/>
      </c>
      <c r="D26" s="340" t="str">
        <f ca="1">IF(ROWS($1:13)&gt;COUNT(Dong11),"",OFFSET(TH!H$1,SMALL(Dong11,ROWS($1:13)),))</f>
        <v/>
      </c>
      <c r="E26" s="338" t="str">
        <f ca="1">IF(ROWS($1:13)&gt;COUNT(Dong11),"",IF(OFFSET(TH!L$1,SMALL(Dong11,ROWS($1:13)),)=$G$7,OFFSET(TH!M$1,SMALL(Dong11,ROWS($1:13)),),OFFSET(TH!L$1,SMALL(Dong11,ROWS($1:13)),)))</f>
        <v/>
      </c>
      <c r="F26" s="341">
        <f ca="1">IF(ROWS($1:13)&gt;COUNT(Dong11),0,OFFSET(TH!J$1,SMALL(Dong11,ROWS($1:13)),))</f>
        <v>0</v>
      </c>
      <c r="G26" s="341">
        <f ca="1">IF(ROWS($1:13)&gt;COUNT(Dong11),0,IF(MID(OFFSET(TH!D$1,SMALL(Dong11,ROWS($1:13)),),4,1)="N",OFFSET(TH!I$1,SMALL(Dong11,ROWS($1:13)),),0))</f>
        <v>0</v>
      </c>
      <c r="H26" s="342">
        <f t="shared" ca="1" si="6"/>
        <v>0</v>
      </c>
      <c r="I26" s="341">
        <f ca="1">IF(ROWS($1:13)&gt;COUNT(Dong11),0,IF(MID(OFFSET(TH!D$1,SMALL(Dong11,ROWS($1:13)),),4,1)="X",OFFSET(TH!I$1,SMALL(Dong11,ROWS($1:13)),),0))</f>
        <v>0</v>
      </c>
      <c r="J26" s="342">
        <f t="shared" ca="1" si="7"/>
        <v>0</v>
      </c>
      <c r="K26" s="342">
        <f t="shared" ca="1" si="8"/>
        <v>0</v>
      </c>
      <c r="L26" s="342">
        <f t="shared" ca="1" si="9"/>
        <v>0</v>
      </c>
      <c r="M26" s="342"/>
      <c r="N26" s="332"/>
    </row>
    <row r="27" spans="1:16">
      <c r="A27" s="303" t="str">
        <f t="shared" ca="1" si="5"/>
        <v/>
      </c>
      <c r="B27" s="338" t="str">
        <f ca="1">IF(ROWS($1:14)&gt;COUNT(Dong11),"",OFFSET(TH!D$1,SMALL(Dong11,ROWS($1:14)),))</f>
        <v/>
      </c>
      <c r="C27" s="339" t="str">
        <f ca="1">IF(ROWS($1:14)&gt;COUNT(Dong11),"",OFFSET(TH!E$1,SMALL(Dong11,ROWS($1:14)),))</f>
        <v/>
      </c>
      <c r="D27" s="340" t="str">
        <f ca="1">IF(ROWS($1:14)&gt;COUNT(Dong11),"",OFFSET(TH!H$1,SMALL(Dong11,ROWS($1:14)),))</f>
        <v/>
      </c>
      <c r="E27" s="338" t="str">
        <f ca="1">IF(ROWS($1:14)&gt;COUNT(Dong11),"",IF(OFFSET(TH!L$1,SMALL(Dong11,ROWS($1:14)),)=$G$7,OFFSET(TH!M$1,SMALL(Dong11,ROWS($1:14)),),OFFSET(TH!L$1,SMALL(Dong11,ROWS($1:14)),)))</f>
        <v/>
      </c>
      <c r="F27" s="341">
        <f ca="1">IF(ROWS($1:14)&gt;COUNT(Dong11),0,OFFSET(TH!J$1,SMALL(Dong11,ROWS($1:14)),))</f>
        <v>0</v>
      </c>
      <c r="G27" s="341">
        <f ca="1">IF(ROWS($1:14)&gt;COUNT(Dong11),0,IF(MID(OFFSET(TH!D$1,SMALL(Dong11,ROWS($1:14)),),4,1)="N",OFFSET(TH!I$1,SMALL(Dong11,ROWS($1:14)),),0))</f>
        <v>0</v>
      </c>
      <c r="H27" s="342">
        <f t="shared" ca="1" si="6"/>
        <v>0</v>
      </c>
      <c r="I27" s="341">
        <f ca="1">IF(ROWS($1:14)&gt;COUNT(Dong11),0,IF(MID(OFFSET(TH!D$1,SMALL(Dong11,ROWS($1:14)),),4,1)="X",OFFSET(TH!I$1,SMALL(Dong11,ROWS($1:14)),),0))</f>
        <v>0</v>
      </c>
      <c r="J27" s="342">
        <f t="shared" ca="1" si="7"/>
        <v>0</v>
      </c>
      <c r="K27" s="342">
        <f t="shared" ca="1" si="8"/>
        <v>0</v>
      </c>
      <c r="L27" s="342">
        <f t="shared" ca="1" si="9"/>
        <v>0</v>
      </c>
      <c r="M27" s="342"/>
      <c r="N27" s="332"/>
    </row>
    <row r="28" spans="1:16">
      <c r="A28" s="303" t="str">
        <f t="shared" ca="1" si="5"/>
        <v/>
      </c>
      <c r="B28" s="338" t="str">
        <f ca="1">IF(ROWS($1:15)&gt;COUNT(Dong11),"",OFFSET(TH!D$1,SMALL(Dong11,ROWS($1:15)),))</f>
        <v/>
      </c>
      <c r="C28" s="339" t="str">
        <f ca="1">IF(ROWS($1:15)&gt;COUNT(Dong11),"",OFFSET(TH!E$1,SMALL(Dong11,ROWS($1:15)),))</f>
        <v/>
      </c>
      <c r="D28" s="340" t="str">
        <f ca="1">IF(ROWS($1:15)&gt;COUNT(Dong11),"",OFFSET(TH!H$1,SMALL(Dong11,ROWS($1:15)),))</f>
        <v/>
      </c>
      <c r="E28" s="338" t="str">
        <f ca="1">IF(ROWS($1:15)&gt;COUNT(Dong11),"",IF(OFFSET(TH!L$1,SMALL(Dong11,ROWS($1:15)),)=$G$7,OFFSET(TH!M$1,SMALL(Dong11,ROWS($1:15)),),OFFSET(TH!L$1,SMALL(Dong11,ROWS($1:15)),)))</f>
        <v/>
      </c>
      <c r="F28" s="341">
        <f ca="1">IF(ROWS($1:15)&gt;COUNT(Dong11),0,OFFSET(TH!J$1,SMALL(Dong11,ROWS($1:15)),))</f>
        <v>0</v>
      </c>
      <c r="G28" s="341">
        <f ca="1">IF(ROWS($1:15)&gt;COUNT(Dong11),0,IF(MID(OFFSET(TH!D$1,SMALL(Dong11,ROWS($1:15)),),4,1)="N",OFFSET(TH!I$1,SMALL(Dong11,ROWS($1:15)),),0))</f>
        <v>0</v>
      </c>
      <c r="H28" s="342">
        <f t="shared" ca="1" si="6"/>
        <v>0</v>
      </c>
      <c r="I28" s="341">
        <f ca="1">IF(ROWS($1:15)&gt;COUNT(Dong11),0,IF(MID(OFFSET(TH!D$1,SMALL(Dong11,ROWS($1:15)),),4,1)="X",OFFSET(TH!I$1,SMALL(Dong11,ROWS($1:15)),),0))</f>
        <v>0</v>
      </c>
      <c r="J28" s="342">
        <f t="shared" ca="1" si="7"/>
        <v>0</v>
      </c>
      <c r="K28" s="342">
        <f t="shared" ca="1" si="8"/>
        <v>0</v>
      </c>
      <c r="L28" s="342">
        <f t="shared" ca="1" si="9"/>
        <v>0</v>
      </c>
      <c r="M28" s="342"/>
      <c r="N28" s="332"/>
    </row>
    <row r="29" spans="1:16">
      <c r="A29" s="303" t="str">
        <f t="shared" ca="1" si="5"/>
        <v/>
      </c>
      <c r="B29" s="338" t="str">
        <f ca="1">IF(ROWS($1:16)&gt;COUNT(Dong11),"",OFFSET(TH!D$1,SMALL(Dong11,ROWS($1:16)),))</f>
        <v/>
      </c>
      <c r="C29" s="339" t="str">
        <f ca="1">IF(ROWS($1:16)&gt;COUNT(Dong11),"",OFFSET(TH!E$1,SMALL(Dong11,ROWS($1:16)),))</f>
        <v/>
      </c>
      <c r="D29" s="340" t="str">
        <f ca="1">IF(ROWS($1:16)&gt;COUNT(Dong11),"",OFFSET(TH!H$1,SMALL(Dong11,ROWS($1:16)),))</f>
        <v/>
      </c>
      <c r="E29" s="338" t="str">
        <f ca="1">IF(ROWS($1:16)&gt;COUNT(Dong11),"",IF(OFFSET(TH!L$1,SMALL(Dong11,ROWS($1:16)),)=$G$7,OFFSET(TH!M$1,SMALL(Dong11,ROWS($1:16)),),OFFSET(TH!L$1,SMALL(Dong11,ROWS($1:16)),)))</f>
        <v/>
      </c>
      <c r="F29" s="341">
        <f ca="1">IF(ROWS($1:16)&gt;COUNT(Dong11),0,OFFSET(TH!J$1,SMALL(Dong11,ROWS($1:16)),))</f>
        <v>0</v>
      </c>
      <c r="G29" s="341">
        <f ca="1">IF(ROWS($1:16)&gt;COUNT(Dong11),0,IF(MID(OFFSET(TH!D$1,SMALL(Dong11,ROWS($1:16)),),4,1)="N",OFFSET(TH!I$1,SMALL(Dong11,ROWS($1:16)),),0))</f>
        <v>0</v>
      </c>
      <c r="H29" s="342">
        <f t="shared" ca="1" si="6"/>
        <v>0</v>
      </c>
      <c r="I29" s="341">
        <f ca="1">IF(ROWS($1:16)&gt;COUNT(Dong11),0,IF(MID(OFFSET(TH!D$1,SMALL(Dong11,ROWS($1:16)),),4,1)="X",OFFSET(TH!I$1,SMALL(Dong11,ROWS($1:16)),),0))</f>
        <v>0</v>
      </c>
      <c r="J29" s="342">
        <f t="shared" ca="1" si="7"/>
        <v>0</v>
      </c>
      <c r="K29" s="342">
        <f t="shared" ca="1" si="8"/>
        <v>0</v>
      </c>
      <c r="L29" s="342">
        <f t="shared" ca="1" si="9"/>
        <v>0</v>
      </c>
      <c r="M29" s="342"/>
      <c r="N29" s="332"/>
    </row>
    <row r="30" spans="1:16">
      <c r="A30" s="303" t="str">
        <f t="shared" ca="1" si="5"/>
        <v/>
      </c>
      <c r="B30" s="338" t="str">
        <f ca="1">IF(ROWS($1:17)&gt;COUNT(Dong11),"",OFFSET(TH!D$1,SMALL(Dong11,ROWS($1:17)),))</f>
        <v/>
      </c>
      <c r="C30" s="339" t="str">
        <f ca="1">IF(ROWS($1:17)&gt;COUNT(Dong11),"",OFFSET(TH!E$1,SMALL(Dong11,ROWS($1:17)),))</f>
        <v/>
      </c>
      <c r="D30" s="340" t="str">
        <f ca="1">IF(ROWS($1:17)&gt;COUNT(Dong11),"",OFFSET(TH!H$1,SMALL(Dong11,ROWS($1:17)),))</f>
        <v/>
      </c>
      <c r="E30" s="338" t="str">
        <f ca="1">IF(ROWS($1:17)&gt;COUNT(Dong11),"",IF(OFFSET(TH!L$1,SMALL(Dong11,ROWS($1:17)),)=$G$7,OFFSET(TH!M$1,SMALL(Dong11,ROWS($1:17)),),OFFSET(TH!L$1,SMALL(Dong11,ROWS($1:17)),)))</f>
        <v/>
      </c>
      <c r="F30" s="341">
        <f ca="1">IF(ROWS($1:17)&gt;COUNT(Dong11),0,OFFSET(TH!J$1,SMALL(Dong11,ROWS($1:17)),))</f>
        <v>0</v>
      </c>
      <c r="G30" s="341">
        <f ca="1">IF(ROWS($1:17)&gt;COUNT(Dong11),0,IF(MID(OFFSET(TH!D$1,SMALL(Dong11,ROWS($1:17)),),4,1)="N",OFFSET(TH!I$1,SMALL(Dong11,ROWS($1:17)),),0))</f>
        <v>0</v>
      </c>
      <c r="H30" s="342">
        <f t="shared" ca="1" si="6"/>
        <v>0</v>
      </c>
      <c r="I30" s="341">
        <f ca="1">IF(ROWS($1:17)&gt;COUNT(Dong11),0,IF(MID(OFFSET(TH!D$1,SMALL(Dong11,ROWS($1:17)),),4,1)="X",OFFSET(TH!I$1,SMALL(Dong11,ROWS($1:17)),),0))</f>
        <v>0</v>
      </c>
      <c r="J30" s="342">
        <f t="shared" ca="1" si="7"/>
        <v>0</v>
      </c>
      <c r="K30" s="342">
        <f t="shared" ca="1" si="8"/>
        <v>0</v>
      </c>
      <c r="L30" s="342">
        <f t="shared" ca="1" si="9"/>
        <v>0</v>
      </c>
      <c r="M30" s="342"/>
      <c r="N30" s="332"/>
    </row>
    <row r="31" spans="1:16">
      <c r="A31" s="303" t="str">
        <f t="shared" ca="1" si="5"/>
        <v/>
      </c>
      <c r="B31" s="338" t="str">
        <f ca="1">IF(ROWS($1:18)&gt;COUNT(Dong11),"",OFFSET(TH!D$1,SMALL(Dong11,ROWS($1:18)),))</f>
        <v/>
      </c>
      <c r="C31" s="339" t="str">
        <f ca="1">IF(ROWS($1:18)&gt;COUNT(Dong11),"",OFFSET(TH!E$1,SMALL(Dong11,ROWS($1:18)),))</f>
        <v/>
      </c>
      <c r="D31" s="340" t="str">
        <f ca="1">IF(ROWS($1:18)&gt;COUNT(Dong11),"",OFFSET(TH!H$1,SMALL(Dong11,ROWS($1:18)),))</f>
        <v/>
      </c>
      <c r="E31" s="338" t="str">
        <f ca="1">IF(ROWS($1:18)&gt;COUNT(Dong11),"",IF(OFFSET(TH!L$1,SMALL(Dong11,ROWS($1:18)),)=$G$7,OFFSET(TH!M$1,SMALL(Dong11,ROWS($1:18)),),OFFSET(TH!L$1,SMALL(Dong11,ROWS($1:18)),)))</f>
        <v/>
      </c>
      <c r="F31" s="341">
        <f ca="1">IF(ROWS($1:18)&gt;COUNT(Dong11),0,OFFSET(TH!J$1,SMALL(Dong11,ROWS($1:18)),))</f>
        <v>0</v>
      </c>
      <c r="G31" s="341">
        <f ca="1">IF(ROWS($1:18)&gt;COUNT(Dong11),0,IF(MID(OFFSET(TH!D$1,SMALL(Dong11,ROWS($1:18)),),4,1)="N",OFFSET(TH!I$1,SMALL(Dong11,ROWS($1:18)),),0))</f>
        <v>0</v>
      </c>
      <c r="H31" s="342">
        <f t="shared" ca="1" si="6"/>
        <v>0</v>
      </c>
      <c r="I31" s="341">
        <f ca="1">IF(ROWS($1:18)&gt;COUNT(Dong11),0,IF(MID(OFFSET(TH!D$1,SMALL(Dong11,ROWS($1:18)),),4,1)="X",OFFSET(TH!I$1,SMALL(Dong11,ROWS($1:18)),),0))</f>
        <v>0</v>
      </c>
      <c r="J31" s="342">
        <f t="shared" ca="1" si="7"/>
        <v>0</v>
      </c>
      <c r="K31" s="342">
        <f t="shared" ca="1" si="8"/>
        <v>0</v>
      </c>
      <c r="L31" s="342">
        <f t="shared" ca="1" si="9"/>
        <v>0</v>
      </c>
      <c r="M31" s="342"/>
      <c r="N31" s="332"/>
    </row>
    <row r="32" spans="1:16">
      <c r="A32" s="303" t="str">
        <f t="shared" ca="1" si="5"/>
        <v/>
      </c>
      <c r="B32" s="338" t="str">
        <f ca="1">IF(ROWS($1:19)&gt;COUNT(Dong11),"",OFFSET(TH!D$1,SMALL(Dong11,ROWS($1:19)),))</f>
        <v/>
      </c>
      <c r="C32" s="339" t="str">
        <f ca="1">IF(ROWS($1:19)&gt;COUNT(Dong11),"",OFFSET(TH!E$1,SMALL(Dong11,ROWS($1:19)),))</f>
        <v/>
      </c>
      <c r="D32" s="340" t="str">
        <f ca="1">IF(ROWS($1:19)&gt;COUNT(Dong11),"",OFFSET(TH!H$1,SMALL(Dong11,ROWS($1:19)),))</f>
        <v/>
      </c>
      <c r="E32" s="338" t="str">
        <f ca="1">IF(ROWS($1:19)&gt;COUNT(Dong11),"",IF(OFFSET(TH!L$1,SMALL(Dong11,ROWS($1:19)),)=$G$7,OFFSET(TH!M$1,SMALL(Dong11,ROWS($1:19)),),OFFSET(TH!L$1,SMALL(Dong11,ROWS($1:19)),)))</f>
        <v/>
      </c>
      <c r="F32" s="341">
        <f ca="1">IF(ROWS($1:19)&gt;COUNT(Dong11),0,OFFSET(TH!J$1,SMALL(Dong11,ROWS($1:19)),))</f>
        <v>0</v>
      </c>
      <c r="G32" s="341">
        <f ca="1">IF(ROWS($1:19)&gt;COUNT(Dong11),0,IF(MID(OFFSET(TH!D$1,SMALL(Dong11,ROWS($1:19)),),4,1)="N",OFFSET(TH!I$1,SMALL(Dong11,ROWS($1:19)),),0))</f>
        <v>0</v>
      </c>
      <c r="H32" s="342">
        <f t="shared" ca="1" si="6"/>
        <v>0</v>
      </c>
      <c r="I32" s="341">
        <f ca="1">IF(ROWS($1:19)&gt;COUNT(Dong11),0,IF(MID(OFFSET(TH!D$1,SMALL(Dong11,ROWS($1:19)),),4,1)="X",OFFSET(TH!I$1,SMALL(Dong11,ROWS($1:19)),),0))</f>
        <v>0</v>
      </c>
      <c r="J32" s="342">
        <f t="shared" ca="1" si="7"/>
        <v>0</v>
      </c>
      <c r="K32" s="342">
        <f t="shared" ca="1" si="8"/>
        <v>0</v>
      </c>
      <c r="L32" s="342">
        <f t="shared" ca="1" si="9"/>
        <v>0</v>
      </c>
      <c r="M32" s="342"/>
      <c r="N32" s="332"/>
    </row>
    <row r="33" spans="1:14">
      <c r="A33" s="303" t="str">
        <f t="shared" ca="1" si="5"/>
        <v/>
      </c>
      <c r="B33" s="338" t="str">
        <f ca="1">IF(ROWS($1:20)&gt;COUNT(Dong11),"",OFFSET(TH!D$1,SMALL(Dong11,ROWS($1:20)),))</f>
        <v/>
      </c>
      <c r="C33" s="339" t="str">
        <f ca="1">IF(ROWS($1:20)&gt;COUNT(Dong11),"",OFFSET(TH!E$1,SMALL(Dong11,ROWS($1:20)),))</f>
        <v/>
      </c>
      <c r="D33" s="340" t="str">
        <f ca="1">IF(ROWS($1:20)&gt;COUNT(Dong11),"",OFFSET(TH!H$1,SMALL(Dong11,ROWS($1:20)),))</f>
        <v/>
      </c>
      <c r="E33" s="338" t="str">
        <f ca="1">IF(ROWS($1:20)&gt;COUNT(Dong11),"",IF(OFFSET(TH!L$1,SMALL(Dong11,ROWS($1:20)),)=$G$7,OFFSET(TH!M$1,SMALL(Dong11,ROWS($1:20)),),OFFSET(TH!L$1,SMALL(Dong11,ROWS($1:20)),)))</f>
        <v/>
      </c>
      <c r="F33" s="341">
        <f ca="1">IF(ROWS($1:20)&gt;COUNT(Dong11),0,OFFSET(TH!J$1,SMALL(Dong11,ROWS($1:20)),))</f>
        <v>0</v>
      </c>
      <c r="G33" s="341">
        <f ca="1">IF(ROWS($1:20)&gt;COUNT(Dong11),0,IF(MID(OFFSET(TH!D$1,SMALL(Dong11,ROWS($1:20)),),4,1)="N",OFFSET(TH!I$1,SMALL(Dong11,ROWS($1:20)),),0))</f>
        <v>0</v>
      </c>
      <c r="H33" s="342">
        <f t="shared" ca="1" si="6"/>
        <v>0</v>
      </c>
      <c r="I33" s="341">
        <f ca="1">IF(ROWS($1:20)&gt;COUNT(Dong11),0,IF(MID(OFFSET(TH!D$1,SMALL(Dong11,ROWS($1:20)),),4,1)="X",OFFSET(TH!I$1,SMALL(Dong11,ROWS($1:20)),),0))</f>
        <v>0</v>
      </c>
      <c r="J33" s="342">
        <f t="shared" ca="1" si="7"/>
        <v>0</v>
      </c>
      <c r="K33" s="342">
        <f t="shared" ca="1" si="8"/>
        <v>0</v>
      </c>
      <c r="L33" s="342">
        <f t="shared" ca="1" si="9"/>
        <v>0</v>
      </c>
      <c r="M33" s="342"/>
      <c r="N33" s="332"/>
    </row>
    <row r="34" spans="1:14">
      <c r="A34" s="303" t="str">
        <f t="shared" ca="1" si="5"/>
        <v/>
      </c>
      <c r="B34" s="338" t="str">
        <f ca="1">IF(ROWS($1:21)&gt;COUNT(Dong11),"",OFFSET(TH!D$1,SMALL(Dong11,ROWS($1:21)),))</f>
        <v/>
      </c>
      <c r="C34" s="339" t="str">
        <f ca="1">IF(ROWS($1:21)&gt;COUNT(Dong11),"",OFFSET(TH!E$1,SMALL(Dong11,ROWS($1:21)),))</f>
        <v/>
      </c>
      <c r="D34" s="340" t="str">
        <f ca="1">IF(ROWS($1:21)&gt;COUNT(Dong11),"",OFFSET(TH!H$1,SMALL(Dong11,ROWS($1:21)),))</f>
        <v/>
      </c>
      <c r="E34" s="338" t="str">
        <f ca="1">IF(ROWS($1:21)&gt;COUNT(Dong11),"",IF(OFFSET(TH!L$1,SMALL(Dong11,ROWS($1:21)),)=$G$7,OFFSET(TH!M$1,SMALL(Dong11,ROWS($1:21)),),OFFSET(TH!L$1,SMALL(Dong11,ROWS($1:21)),)))</f>
        <v/>
      </c>
      <c r="F34" s="341">
        <f ca="1">IF(ROWS($1:21)&gt;COUNT(Dong11),0,OFFSET(TH!J$1,SMALL(Dong11,ROWS($1:21)),))</f>
        <v>0</v>
      </c>
      <c r="G34" s="341">
        <f ca="1">IF(ROWS($1:21)&gt;COUNT(Dong11),0,IF(MID(OFFSET(TH!D$1,SMALL(Dong11,ROWS($1:21)),),4,1)="N",OFFSET(TH!I$1,SMALL(Dong11,ROWS($1:21)),),0))</f>
        <v>0</v>
      </c>
      <c r="H34" s="342">
        <f t="shared" ca="1" si="6"/>
        <v>0</v>
      </c>
      <c r="I34" s="341">
        <f ca="1">IF(ROWS($1:21)&gt;COUNT(Dong11),0,IF(MID(OFFSET(TH!D$1,SMALL(Dong11,ROWS($1:21)),),4,1)="X",OFFSET(TH!I$1,SMALL(Dong11,ROWS($1:21)),),0))</f>
        <v>0</v>
      </c>
      <c r="J34" s="342">
        <f t="shared" ca="1" si="7"/>
        <v>0</v>
      </c>
      <c r="K34" s="342">
        <f t="shared" ca="1" si="8"/>
        <v>0</v>
      </c>
      <c r="L34" s="342">
        <f t="shared" ca="1" si="9"/>
        <v>0</v>
      </c>
      <c r="M34" s="342"/>
      <c r="N34" s="332"/>
    </row>
    <row r="35" spans="1:14">
      <c r="A35" s="303" t="str">
        <f t="shared" ca="1" si="5"/>
        <v/>
      </c>
      <c r="B35" s="338" t="str">
        <f ca="1">IF(ROWS($1:22)&gt;COUNT(Dong11),"",OFFSET(TH!D$1,SMALL(Dong11,ROWS($1:22)),))</f>
        <v/>
      </c>
      <c r="C35" s="339" t="str">
        <f ca="1">IF(ROWS($1:22)&gt;COUNT(Dong11),"",OFFSET(TH!E$1,SMALL(Dong11,ROWS($1:22)),))</f>
        <v/>
      </c>
      <c r="D35" s="340" t="str">
        <f ca="1">IF(ROWS($1:22)&gt;COUNT(Dong11),"",OFFSET(TH!H$1,SMALL(Dong11,ROWS($1:22)),))</f>
        <v/>
      </c>
      <c r="E35" s="338" t="str">
        <f ca="1">IF(ROWS($1:22)&gt;COUNT(Dong11),"",IF(OFFSET(TH!L$1,SMALL(Dong11,ROWS($1:22)),)=$G$7,OFFSET(TH!M$1,SMALL(Dong11,ROWS($1:22)),),OFFSET(TH!L$1,SMALL(Dong11,ROWS($1:22)),)))</f>
        <v/>
      </c>
      <c r="F35" s="341">
        <f ca="1">IF(ROWS($1:22)&gt;COUNT(Dong11),0,OFFSET(TH!J$1,SMALL(Dong11,ROWS($1:22)),))</f>
        <v>0</v>
      </c>
      <c r="G35" s="341">
        <f ca="1">IF(ROWS($1:22)&gt;COUNT(Dong11),0,IF(MID(OFFSET(TH!D$1,SMALL(Dong11,ROWS($1:22)),),4,1)="N",OFFSET(TH!I$1,SMALL(Dong11,ROWS($1:22)),),0))</f>
        <v>0</v>
      </c>
      <c r="H35" s="342">
        <f t="shared" ca="1" si="6"/>
        <v>0</v>
      </c>
      <c r="I35" s="341">
        <f ca="1">IF(ROWS($1:22)&gt;COUNT(Dong11),0,IF(MID(OFFSET(TH!D$1,SMALL(Dong11,ROWS($1:22)),),4,1)="X",OFFSET(TH!I$1,SMALL(Dong11,ROWS($1:22)),),0))</f>
        <v>0</v>
      </c>
      <c r="J35" s="342">
        <f t="shared" ca="1" si="7"/>
        <v>0</v>
      </c>
      <c r="K35" s="342">
        <f t="shared" ca="1" si="8"/>
        <v>0</v>
      </c>
      <c r="L35" s="342">
        <f t="shared" ca="1" si="9"/>
        <v>0</v>
      </c>
      <c r="M35" s="342"/>
      <c r="N35" s="332"/>
    </row>
    <row r="36" spans="1:14">
      <c r="A36" s="303" t="str">
        <f t="shared" ca="1" si="5"/>
        <v/>
      </c>
      <c r="B36" s="338" t="str">
        <f ca="1">IF(ROWS($1:23)&gt;COUNT(Dong11),"",OFFSET(TH!D$1,SMALL(Dong11,ROWS($1:23)),))</f>
        <v/>
      </c>
      <c r="C36" s="339" t="str">
        <f ca="1">IF(ROWS($1:23)&gt;COUNT(Dong11),"",OFFSET(TH!E$1,SMALL(Dong11,ROWS($1:23)),))</f>
        <v/>
      </c>
      <c r="D36" s="340" t="str">
        <f ca="1">IF(ROWS($1:23)&gt;COUNT(Dong11),"",OFFSET(TH!H$1,SMALL(Dong11,ROWS($1:23)),))</f>
        <v/>
      </c>
      <c r="E36" s="338" t="str">
        <f ca="1">IF(ROWS($1:23)&gt;COUNT(Dong11),"",IF(OFFSET(TH!L$1,SMALL(Dong11,ROWS($1:23)),)=$G$7,OFFSET(TH!M$1,SMALL(Dong11,ROWS($1:23)),),OFFSET(TH!L$1,SMALL(Dong11,ROWS($1:23)),)))</f>
        <v/>
      </c>
      <c r="F36" s="341">
        <f ca="1">IF(ROWS($1:23)&gt;COUNT(Dong11),0,OFFSET(TH!J$1,SMALL(Dong11,ROWS($1:23)),))</f>
        <v>0</v>
      </c>
      <c r="G36" s="341">
        <f ca="1">IF(ROWS($1:23)&gt;COUNT(Dong11),0,IF(MID(OFFSET(TH!D$1,SMALL(Dong11,ROWS($1:23)),),4,1)="N",OFFSET(TH!I$1,SMALL(Dong11,ROWS($1:23)),),0))</f>
        <v>0</v>
      </c>
      <c r="H36" s="342">
        <f t="shared" ca="1" si="6"/>
        <v>0</v>
      </c>
      <c r="I36" s="341">
        <f ca="1">IF(ROWS($1:23)&gt;COUNT(Dong11),0,IF(MID(OFFSET(TH!D$1,SMALL(Dong11,ROWS($1:23)),),4,1)="X",OFFSET(TH!I$1,SMALL(Dong11,ROWS($1:23)),),0))</f>
        <v>0</v>
      </c>
      <c r="J36" s="342">
        <f t="shared" ca="1" si="7"/>
        <v>0</v>
      </c>
      <c r="K36" s="342">
        <f t="shared" ca="1" si="8"/>
        <v>0</v>
      </c>
      <c r="L36" s="342">
        <f t="shared" ca="1" si="9"/>
        <v>0</v>
      </c>
      <c r="M36" s="342"/>
      <c r="N36" s="332"/>
    </row>
    <row r="37" spans="1:14">
      <c r="A37" s="303" t="str">
        <f t="shared" ca="1" si="5"/>
        <v/>
      </c>
      <c r="B37" s="338" t="str">
        <f ca="1">IF(ROWS($1:24)&gt;COUNT(Dong11),"",OFFSET(TH!D$1,SMALL(Dong11,ROWS($1:24)),))</f>
        <v/>
      </c>
      <c r="C37" s="339" t="str">
        <f ca="1">IF(ROWS($1:24)&gt;COUNT(Dong11),"",OFFSET(TH!E$1,SMALL(Dong11,ROWS($1:24)),))</f>
        <v/>
      </c>
      <c r="D37" s="340" t="str">
        <f ca="1">IF(ROWS($1:24)&gt;COUNT(Dong11),"",OFFSET(TH!H$1,SMALL(Dong11,ROWS($1:24)),))</f>
        <v/>
      </c>
      <c r="E37" s="338" t="str">
        <f ca="1">IF(ROWS($1:24)&gt;COUNT(Dong11),"",IF(OFFSET(TH!L$1,SMALL(Dong11,ROWS($1:24)),)=$G$7,OFFSET(TH!M$1,SMALL(Dong11,ROWS($1:24)),),OFFSET(TH!L$1,SMALL(Dong11,ROWS($1:24)),)))</f>
        <v/>
      </c>
      <c r="F37" s="341">
        <f ca="1">IF(ROWS($1:24)&gt;COUNT(Dong11),0,OFFSET(TH!J$1,SMALL(Dong11,ROWS($1:24)),))</f>
        <v>0</v>
      </c>
      <c r="G37" s="341">
        <f ca="1">IF(ROWS($1:24)&gt;COUNT(Dong11),0,IF(MID(OFFSET(TH!D$1,SMALL(Dong11,ROWS($1:24)),),4,1)="N",OFFSET(TH!I$1,SMALL(Dong11,ROWS($1:24)),),0))</f>
        <v>0</v>
      </c>
      <c r="H37" s="342">
        <f t="shared" ca="1" si="6"/>
        <v>0</v>
      </c>
      <c r="I37" s="341">
        <f ca="1">IF(ROWS($1:24)&gt;COUNT(Dong11),0,IF(MID(OFFSET(TH!D$1,SMALL(Dong11,ROWS($1:24)),),4,1)="X",OFFSET(TH!I$1,SMALL(Dong11,ROWS($1:24)),),0))</f>
        <v>0</v>
      </c>
      <c r="J37" s="342">
        <f t="shared" ca="1" si="7"/>
        <v>0</v>
      </c>
      <c r="K37" s="342">
        <f t="shared" ca="1" si="8"/>
        <v>0</v>
      </c>
      <c r="L37" s="342">
        <f t="shared" ca="1" si="9"/>
        <v>0</v>
      </c>
      <c r="M37" s="342"/>
      <c r="N37" s="332"/>
    </row>
    <row r="38" spans="1:14">
      <c r="A38" s="303" t="str">
        <f t="shared" ca="1" si="5"/>
        <v/>
      </c>
      <c r="B38" s="338" t="str">
        <f ca="1">IF(ROWS($1:25)&gt;COUNT(Dong11),"",OFFSET(TH!D$1,SMALL(Dong11,ROWS($1:25)),))</f>
        <v/>
      </c>
      <c r="C38" s="339" t="str">
        <f ca="1">IF(ROWS($1:25)&gt;COUNT(Dong11),"",OFFSET(TH!E$1,SMALL(Dong11,ROWS($1:25)),))</f>
        <v/>
      </c>
      <c r="D38" s="340" t="str">
        <f ca="1">IF(ROWS($1:25)&gt;COUNT(Dong11),"",OFFSET(TH!H$1,SMALL(Dong11,ROWS($1:25)),))</f>
        <v/>
      </c>
      <c r="E38" s="338" t="str">
        <f ca="1">IF(ROWS($1:25)&gt;COUNT(Dong11),"",IF(OFFSET(TH!L$1,SMALL(Dong11,ROWS($1:25)),)=$G$7,OFFSET(TH!M$1,SMALL(Dong11,ROWS($1:25)),),OFFSET(TH!L$1,SMALL(Dong11,ROWS($1:25)),)))</f>
        <v/>
      </c>
      <c r="F38" s="341">
        <f ca="1">IF(ROWS($1:25)&gt;COUNT(Dong11),0,OFFSET(TH!J$1,SMALL(Dong11,ROWS($1:25)),))</f>
        <v>0</v>
      </c>
      <c r="G38" s="341">
        <f ca="1">IF(ROWS($1:25)&gt;COUNT(Dong11),0,IF(MID(OFFSET(TH!D$1,SMALL(Dong11,ROWS($1:25)),),4,1)="N",OFFSET(TH!I$1,SMALL(Dong11,ROWS($1:25)),),0))</f>
        <v>0</v>
      </c>
      <c r="H38" s="342">
        <f t="shared" ca="1" si="6"/>
        <v>0</v>
      </c>
      <c r="I38" s="341">
        <f ca="1">IF(ROWS($1:25)&gt;COUNT(Dong11),0,IF(MID(OFFSET(TH!D$1,SMALL(Dong11,ROWS($1:25)),),4,1)="X",OFFSET(TH!I$1,SMALL(Dong11,ROWS($1:25)),),0))</f>
        <v>0</v>
      </c>
      <c r="J38" s="342">
        <f t="shared" ca="1" si="7"/>
        <v>0</v>
      </c>
      <c r="K38" s="342">
        <f t="shared" ca="1" si="8"/>
        <v>0</v>
      </c>
      <c r="L38" s="342">
        <f t="shared" ca="1" si="9"/>
        <v>0</v>
      </c>
      <c r="M38" s="342"/>
      <c r="N38" s="332"/>
    </row>
    <row r="39" spans="1:14">
      <c r="A39" s="303" t="str">
        <f t="shared" ref="A39:A62" ca="1" si="10">IF(B39="","",A38+1)</f>
        <v/>
      </c>
      <c r="B39" s="338" t="str">
        <f ca="1">IF(ROWS($1:26)&gt;COUNT(Dong11),"",OFFSET(TH!D$1,SMALL(Dong11,ROWS($1:26)),))</f>
        <v/>
      </c>
      <c r="C39" s="339" t="str">
        <f ca="1">IF(ROWS($1:26)&gt;COUNT(Dong11),"",OFFSET(TH!E$1,SMALL(Dong11,ROWS($1:26)),))</f>
        <v/>
      </c>
      <c r="D39" s="340" t="str">
        <f ca="1">IF(ROWS($1:26)&gt;COUNT(Dong11),"",OFFSET(TH!H$1,SMALL(Dong11,ROWS($1:26)),))</f>
        <v/>
      </c>
      <c r="E39" s="338" t="str">
        <f ca="1">IF(ROWS($1:26)&gt;COUNT(Dong11),"",IF(OFFSET(TH!L$1,SMALL(Dong11,ROWS($1:26)),)=$G$7,OFFSET(TH!M$1,SMALL(Dong11,ROWS($1:26)),),OFFSET(TH!L$1,SMALL(Dong11,ROWS($1:26)),)))</f>
        <v/>
      </c>
      <c r="F39" s="341">
        <f ca="1">IF(ROWS($1:26)&gt;COUNT(Dong11),0,OFFSET(TH!J$1,SMALL(Dong11,ROWS($1:26)),))</f>
        <v>0</v>
      </c>
      <c r="G39" s="341">
        <f ca="1">IF(ROWS($1:26)&gt;COUNT(Dong11),0,IF(MID(OFFSET(TH!D$1,SMALL(Dong11,ROWS($1:26)),),4,1)="N",OFFSET(TH!I$1,SMALL(Dong11,ROWS($1:26)),),0))</f>
        <v>0</v>
      </c>
      <c r="H39" s="342">
        <f t="shared" ref="H39:H62" ca="1" si="11">ROUND(F39*G39,0)</f>
        <v>0</v>
      </c>
      <c r="I39" s="341">
        <f ca="1">IF(ROWS($1:26)&gt;COUNT(Dong11),0,IF(MID(OFFSET(TH!D$1,SMALL(Dong11,ROWS($1:26)),),4,1)="X",OFFSET(TH!I$1,SMALL(Dong11,ROWS($1:26)),),0))</f>
        <v>0</v>
      </c>
      <c r="J39" s="342">
        <f t="shared" ref="J39:J62" ca="1" si="12">ROUND(F39*I39,0)</f>
        <v>0</v>
      </c>
      <c r="K39" s="342">
        <f t="shared" ref="K39:K62" ca="1" si="13">IF(D39&lt;&gt;"",K38+G39-I39,0)</f>
        <v>0</v>
      </c>
      <c r="L39" s="342">
        <f t="shared" ref="L39:L62" ca="1" si="14">IF(D39&lt;&gt;"",L38+H39-J39,0)</f>
        <v>0</v>
      </c>
      <c r="M39" s="342"/>
      <c r="N39" s="332"/>
    </row>
    <row r="40" spans="1:14">
      <c r="A40" s="303" t="str">
        <f t="shared" ca="1" si="10"/>
        <v/>
      </c>
      <c r="B40" s="338" t="str">
        <f ca="1">IF(ROWS($1:27)&gt;COUNT(Dong11),"",OFFSET(TH!D$1,SMALL(Dong11,ROWS($1:27)),))</f>
        <v/>
      </c>
      <c r="C40" s="339" t="str">
        <f ca="1">IF(ROWS($1:27)&gt;COUNT(Dong11),"",OFFSET(TH!E$1,SMALL(Dong11,ROWS($1:27)),))</f>
        <v/>
      </c>
      <c r="D40" s="340" t="str">
        <f ca="1">IF(ROWS($1:27)&gt;COUNT(Dong11),"",OFFSET(TH!H$1,SMALL(Dong11,ROWS($1:27)),))</f>
        <v/>
      </c>
      <c r="E40" s="338" t="str">
        <f ca="1">IF(ROWS($1:27)&gt;COUNT(Dong11),"",IF(OFFSET(TH!L$1,SMALL(Dong11,ROWS($1:27)),)=$G$7,OFFSET(TH!M$1,SMALL(Dong11,ROWS($1:27)),),OFFSET(TH!L$1,SMALL(Dong11,ROWS($1:27)),)))</f>
        <v/>
      </c>
      <c r="F40" s="341">
        <f ca="1">IF(ROWS($1:27)&gt;COUNT(Dong11),0,OFFSET(TH!J$1,SMALL(Dong11,ROWS($1:27)),))</f>
        <v>0</v>
      </c>
      <c r="G40" s="341">
        <f ca="1">IF(ROWS($1:27)&gt;COUNT(Dong11),0,IF(MID(OFFSET(TH!D$1,SMALL(Dong11,ROWS($1:27)),),4,1)="N",OFFSET(TH!I$1,SMALL(Dong11,ROWS($1:27)),),0))</f>
        <v>0</v>
      </c>
      <c r="H40" s="342">
        <f t="shared" ca="1" si="11"/>
        <v>0</v>
      </c>
      <c r="I40" s="341">
        <f ca="1">IF(ROWS($1:27)&gt;COUNT(Dong11),0,IF(MID(OFFSET(TH!D$1,SMALL(Dong11,ROWS($1:27)),),4,1)="X",OFFSET(TH!I$1,SMALL(Dong11,ROWS($1:27)),),0))</f>
        <v>0</v>
      </c>
      <c r="J40" s="342">
        <f t="shared" ca="1" si="12"/>
        <v>0</v>
      </c>
      <c r="K40" s="342">
        <f t="shared" ca="1" si="13"/>
        <v>0</v>
      </c>
      <c r="L40" s="342">
        <f t="shared" ca="1" si="14"/>
        <v>0</v>
      </c>
      <c r="M40" s="342"/>
      <c r="N40" s="332"/>
    </row>
    <row r="41" spans="1:14">
      <c r="A41" s="303" t="str">
        <f t="shared" ca="1" si="10"/>
        <v/>
      </c>
      <c r="B41" s="338" t="str">
        <f ca="1">IF(ROWS($1:28)&gt;COUNT(Dong11),"",OFFSET(TH!D$1,SMALL(Dong11,ROWS($1:28)),))</f>
        <v/>
      </c>
      <c r="C41" s="339" t="str">
        <f ca="1">IF(ROWS($1:28)&gt;COUNT(Dong11),"",OFFSET(TH!E$1,SMALL(Dong11,ROWS($1:28)),))</f>
        <v/>
      </c>
      <c r="D41" s="340" t="str">
        <f ca="1">IF(ROWS($1:28)&gt;COUNT(Dong11),"",OFFSET(TH!H$1,SMALL(Dong11,ROWS($1:28)),))</f>
        <v/>
      </c>
      <c r="E41" s="338" t="str">
        <f ca="1">IF(ROWS($1:28)&gt;COUNT(Dong11),"",IF(OFFSET(TH!L$1,SMALL(Dong11,ROWS($1:28)),)=$G$7,OFFSET(TH!M$1,SMALL(Dong11,ROWS($1:28)),),OFFSET(TH!L$1,SMALL(Dong11,ROWS($1:28)),)))</f>
        <v/>
      </c>
      <c r="F41" s="341">
        <f ca="1">IF(ROWS($1:28)&gt;COUNT(Dong11),0,OFFSET(TH!J$1,SMALL(Dong11,ROWS($1:28)),))</f>
        <v>0</v>
      </c>
      <c r="G41" s="341">
        <f ca="1">IF(ROWS($1:28)&gt;COUNT(Dong11),0,IF(MID(OFFSET(TH!D$1,SMALL(Dong11,ROWS($1:28)),),4,1)="N",OFFSET(TH!I$1,SMALL(Dong11,ROWS($1:28)),),0))</f>
        <v>0</v>
      </c>
      <c r="H41" s="342">
        <f t="shared" ca="1" si="11"/>
        <v>0</v>
      </c>
      <c r="I41" s="341">
        <f ca="1">IF(ROWS($1:28)&gt;COUNT(Dong11),0,IF(MID(OFFSET(TH!D$1,SMALL(Dong11,ROWS($1:28)),),4,1)="X",OFFSET(TH!I$1,SMALL(Dong11,ROWS($1:28)),),0))</f>
        <v>0</v>
      </c>
      <c r="J41" s="342">
        <f t="shared" ca="1" si="12"/>
        <v>0</v>
      </c>
      <c r="K41" s="342">
        <f t="shared" ca="1" si="13"/>
        <v>0</v>
      </c>
      <c r="L41" s="342">
        <f t="shared" ca="1" si="14"/>
        <v>0</v>
      </c>
      <c r="M41" s="342"/>
      <c r="N41" s="332"/>
    </row>
    <row r="42" spans="1:14">
      <c r="A42" s="303" t="str">
        <f t="shared" ca="1" si="10"/>
        <v/>
      </c>
      <c r="B42" s="338" t="str">
        <f ca="1">IF(ROWS($1:29)&gt;COUNT(Dong11),"",OFFSET(TH!D$1,SMALL(Dong11,ROWS($1:29)),))</f>
        <v/>
      </c>
      <c r="C42" s="339" t="str">
        <f ca="1">IF(ROWS($1:29)&gt;COUNT(Dong11),"",OFFSET(TH!E$1,SMALL(Dong11,ROWS($1:29)),))</f>
        <v/>
      </c>
      <c r="D42" s="340" t="str">
        <f ca="1">IF(ROWS($1:29)&gt;COUNT(Dong11),"",OFFSET(TH!H$1,SMALL(Dong11,ROWS($1:29)),))</f>
        <v/>
      </c>
      <c r="E42" s="338" t="str">
        <f ca="1">IF(ROWS($1:29)&gt;COUNT(Dong11),"",IF(OFFSET(TH!L$1,SMALL(Dong11,ROWS($1:29)),)=$G$7,OFFSET(TH!M$1,SMALL(Dong11,ROWS($1:29)),),OFFSET(TH!L$1,SMALL(Dong11,ROWS($1:29)),)))</f>
        <v/>
      </c>
      <c r="F42" s="341">
        <f ca="1">IF(ROWS($1:29)&gt;COUNT(Dong11),0,OFFSET(TH!J$1,SMALL(Dong11,ROWS($1:29)),))</f>
        <v>0</v>
      </c>
      <c r="G42" s="341">
        <f ca="1">IF(ROWS($1:29)&gt;COUNT(Dong11),0,IF(MID(OFFSET(TH!D$1,SMALL(Dong11,ROWS($1:29)),),4,1)="N",OFFSET(TH!I$1,SMALL(Dong11,ROWS($1:29)),),0))</f>
        <v>0</v>
      </c>
      <c r="H42" s="342">
        <f t="shared" ca="1" si="11"/>
        <v>0</v>
      </c>
      <c r="I42" s="341">
        <f ca="1">IF(ROWS($1:29)&gt;COUNT(Dong11),0,IF(MID(OFFSET(TH!D$1,SMALL(Dong11,ROWS($1:29)),),4,1)="X",OFFSET(TH!I$1,SMALL(Dong11,ROWS($1:29)),),0))</f>
        <v>0</v>
      </c>
      <c r="J42" s="342">
        <f t="shared" ca="1" si="12"/>
        <v>0</v>
      </c>
      <c r="K42" s="342">
        <f t="shared" ca="1" si="13"/>
        <v>0</v>
      </c>
      <c r="L42" s="342">
        <f t="shared" ca="1" si="14"/>
        <v>0</v>
      </c>
      <c r="M42" s="342"/>
      <c r="N42" s="332"/>
    </row>
    <row r="43" spans="1:14">
      <c r="A43" s="303" t="str">
        <f t="shared" ca="1" si="10"/>
        <v/>
      </c>
      <c r="B43" s="338" t="str">
        <f ca="1">IF(ROWS($1:30)&gt;COUNT(Dong11),"",OFFSET(TH!D$1,SMALL(Dong11,ROWS($1:30)),))</f>
        <v/>
      </c>
      <c r="C43" s="339" t="str">
        <f ca="1">IF(ROWS($1:30)&gt;COUNT(Dong11),"",OFFSET(TH!E$1,SMALL(Dong11,ROWS($1:30)),))</f>
        <v/>
      </c>
      <c r="D43" s="340" t="str">
        <f ca="1">IF(ROWS($1:30)&gt;COUNT(Dong11),"",OFFSET(TH!H$1,SMALL(Dong11,ROWS($1:30)),))</f>
        <v/>
      </c>
      <c r="E43" s="338" t="str">
        <f ca="1">IF(ROWS($1:30)&gt;COUNT(Dong11),"",IF(OFFSET(TH!L$1,SMALL(Dong11,ROWS($1:30)),)=$G$7,OFFSET(TH!M$1,SMALL(Dong11,ROWS($1:30)),),OFFSET(TH!L$1,SMALL(Dong11,ROWS($1:30)),)))</f>
        <v/>
      </c>
      <c r="F43" s="341">
        <f ca="1">IF(ROWS($1:30)&gt;COUNT(Dong11),0,OFFSET(TH!J$1,SMALL(Dong11,ROWS($1:30)),))</f>
        <v>0</v>
      </c>
      <c r="G43" s="341">
        <f ca="1">IF(ROWS($1:30)&gt;COUNT(Dong11),0,IF(MID(OFFSET(TH!D$1,SMALL(Dong11,ROWS($1:30)),),4,1)="N",OFFSET(TH!I$1,SMALL(Dong11,ROWS($1:30)),),0))</f>
        <v>0</v>
      </c>
      <c r="H43" s="342">
        <f t="shared" ca="1" si="11"/>
        <v>0</v>
      </c>
      <c r="I43" s="341">
        <f ca="1">IF(ROWS($1:30)&gt;COUNT(Dong11),0,IF(MID(OFFSET(TH!D$1,SMALL(Dong11,ROWS($1:30)),),4,1)="X",OFFSET(TH!I$1,SMALL(Dong11,ROWS($1:30)),),0))</f>
        <v>0</v>
      </c>
      <c r="J43" s="342">
        <f t="shared" ca="1" si="12"/>
        <v>0</v>
      </c>
      <c r="K43" s="342">
        <f t="shared" ca="1" si="13"/>
        <v>0</v>
      </c>
      <c r="L43" s="342">
        <f t="shared" ca="1" si="14"/>
        <v>0</v>
      </c>
      <c r="M43" s="342"/>
      <c r="N43" s="332"/>
    </row>
    <row r="44" spans="1:14">
      <c r="A44" s="303" t="str">
        <f t="shared" ca="1" si="10"/>
        <v/>
      </c>
      <c r="B44" s="338" t="str">
        <f ca="1">IF(ROWS($1:31)&gt;COUNT(Dong11),"",OFFSET(TH!D$1,SMALL(Dong11,ROWS($1:31)),))</f>
        <v/>
      </c>
      <c r="C44" s="339" t="str">
        <f ca="1">IF(ROWS($1:31)&gt;COUNT(Dong11),"",OFFSET(TH!E$1,SMALL(Dong11,ROWS($1:31)),))</f>
        <v/>
      </c>
      <c r="D44" s="340" t="str">
        <f ca="1">IF(ROWS($1:31)&gt;COUNT(Dong11),"",OFFSET(TH!H$1,SMALL(Dong11,ROWS($1:31)),))</f>
        <v/>
      </c>
      <c r="E44" s="338" t="str">
        <f ca="1">IF(ROWS($1:31)&gt;COUNT(Dong11),"",IF(OFFSET(TH!L$1,SMALL(Dong11,ROWS($1:31)),)=$G$7,OFFSET(TH!M$1,SMALL(Dong11,ROWS($1:31)),),OFFSET(TH!L$1,SMALL(Dong11,ROWS($1:31)),)))</f>
        <v/>
      </c>
      <c r="F44" s="341">
        <f ca="1">IF(ROWS($1:31)&gt;COUNT(Dong11),0,OFFSET(TH!J$1,SMALL(Dong11,ROWS($1:31)),))</f>
        <v>0</v>
      </c>
      <c r="G44" s="341">
        <f ca="1">IF(ROWS($1:31)&gt;COUNT(Dong11),0,IF(MID(OFFSET(TH!D$1,SMALL(Dong11,ROWS($1:31)),),4,1)="N",OFFSET(TH!I$1,SMALL(Dong11,ROWS($1:31)),),0))</f>
        <v>0</v>
      </c>
      <c r="H44" s="342">
        <f t="shared" ca="1" si="11"/>
        <v>0</v>
      </c>
      <c r="I44" s="341">
        <f ca="1">IF(ROWS($1:31)&gt;COUNT(Dong11),0,IF(MID(OFFSET(TH!D$1,SMALL(Dong11,ROWS($1:31)),),4,1)="X",OFFSET(TH!I$1,SMALL(Dong11,ROWS($1:31)),),0))</f>
        <v>0</v>
      </c>
      <c r="J44" s="342">
        <f t="shared" ca="1" si="12"/>
        <v>0</v>
      </c>
      <c r="K44" s="342">
        <f t="shared" ca="1" si="13"/>
        <v>0</v>
      </c>
      <c r="L44" s="342">
        <f t="shared" ca="1" si="14"/>
        <v>0</v>
      </c>
      <c r="M44" s="342"/>
      <c r="N44" s="332"/>
    </row>
    <row r="45" spans="1:14">
      <c r="A45" s="303" t="str">
        <f t="shared" ca="1" si="10"/>
        <v/>
      </c>
      <c r="B45" s="338" t="str">
        <f ca="1">IF(ROWS($1:32)&gt;COUNT(Dong11),"",OFFSET(TH!D$1,SMALL(Dong11,ROWS($1:32)),))</f>
        <v/>
      </c>
      <c r="C45" s="339" t="str">
        <f ca="1">IF(ROWS($1:32)&gt;COUNT(Dong11),"",OFFSET(TH!E$1,SMALL(Dong11,ROWS($1:32)),))</f>
        <v/>
      </c>
      <c r="D45" s="340" t="str">
        <f ca="1">IF(ROWS($1:32)&gt;COUNT(Dong11),"",OFFSET(TH!H$1,SMALL(Dong11,ROWS($1:32)),))</f>
        <v/>
      </c>
      <c r="E45" s="338" t="str">
        <f ca="1">IF(ROWS($1:32)&gt;COUNT(Dong11),"",IF(OFFSET(TH!L$1,SMALL(Dong11,ROWS($1:32)),)=$G$7,OFFSET(TH!M$1,SMALL(Dong11,ROWS($1:32)),),OFFSET(TH!L$1,SMALL(Dong11,ROWS($1:32)),)))</f>
        <v/>
      </c>
      <c r="F45" s="341">
        <f ca="1">IF(ROWS($1:32)&gt;COUNT(Dong11),0,OFFSET(TH!J$1,SMALL(Dong11,ROWS($1:32)),))</f>
        <v>0</v>
      </c>
      <c r="G45" s="341">
        <f ca="1">IF(ROWS($1:32)&gt;COUNT(Dong11),0,IF(MID(OFFSET(TH!D$1,SMALL(Dong11,ROWS($1:32)),),4,1)="N",OFFSET(TH!I$1,SMALL(Dong11,ROWS($1:32)),),0))</f>
        <v>0</v>
      </c>
      <c r="H45" s="342">
        <f t="shared" ca="1" si="11"/>
        <v>0</v>
      </c>
      <c r="I45" s="341">
        <f ca="1">IF(ROWS($1:32)&gt;COUNT(Dong11),0,IF(MID(OFFSET(TH!D$1,SMALL(Dong11,ROWS($1:32)),),4,1)="X",OFFSET(TH!I$1,SMALL(Dong11,ROWS($1:32)),),0))</f>
        <v>0</v>
      </c>
      <c r="J45" s="342">
        <f t="shared" ca="1" si="12"/>
        <v>0</v>
      </c>
      <c r="K45" s="342">
        <f t="shared" ca="1" si="13"/>
        <v>0</v>
      </c>
      <c r="L45" s="342">
        <f t="shared" ca="1" si="14"/>
        <v>0</v>
      </c>
      <c r="M45" s="342"/>
      <c r="N45" s="332"/>
    </row>
    <row r="46" spans="1:14">
      <c r="A46" s="303" t="str">
        <f t="shared" ca="1" si="10"/>
        <v/>
      </c>
      <c r="B46" s="338" t="str">
        <f ca="1">IF(ROWS($1:33)&gt;COUNT(Dong11),"",OFFSET(TH!D$1,SMALL(Dong11,ROWS($1:33)),))</f>
        <v/>
      </c>
      <c r="C46" s="339" t="str">
        <f ca="1">IF(ROWS($1:33)&gt;COUNT(Dong11),"",OFFSET(TH!E$1,SMALL(Dong11,ROWS($1:33)),))</f>
        <v/>
      </c>
      <c r="D46" s="340" t="str">
        <f ca="1">IF(ROWS($1:33)&gt;COUNT(Dong11),"",OFFSET(TH!H$1,SMALL(Dong11,ROWS($1:33)),))</f>
        <v/>
      </c>
      <c r="E46" s="338" t="str">
        <f ca="1">IF(ROWS($1:33)&gt;COUNT(Dong11),"",IF(OFFSET(TH!L$1,SMALL(Dong11,ROWS($1:33)),)=$G$7,OFFSET(TH!M$1,SMALL(Dong11,ROWS($1:33)),),OFFSET(TH!L$1,SMALL(Dong11,ROWS($1:33)),)))</f>
        <v/>
      </c>
      <c r="F46" s="341">
        <f ca="1">IF(ROWS($1:33)&gt;COUNT(Dong11),0,OFFSET(TH!J$1,SMALL(Dong11,ROWS($1:33)),))</f>
        <v>0</v>
      </c>
      <c r="G46" s="341">
        <f ca="1">IF(ROWS($1:33)&gt;COUNT(Dong11),0,IF(MID(OFFSET(TH!D$1,SMALL(Dong11,ROWS($1:33)),),4,1)="N",OFFSET(TH!I$1,SMALL(Dong11,ROWS($1:33)),),0))</f>
        <v>0</v>
      </c>
      <c r="H46" s="342">
        <f t="shared" ca="1" si="11"/>
        <v>0</v>
      </c>
      <c r="I46" s="341">
        <f ca="1">IF(ROWS($1:33)&gt;COUNT(Dong11),0,IF(MID(OFFSET(TH!D$1,SMALL(Dong11,ROWS($1:33)),),4,1)="X",OFFSET(TH!I$1,SMALL(Dong11,ROWS($1:33)),),0))</f>
        <v>0</v>
      </c>
      <c r="J46" s="342">
        <f t="shared" ca="1" si="12"/>
        <v>0</v>
      </c>
      <c r="K46" s="342">
        <f t="shared" ca="1" si="13"/>
        <v>0</v>
      </c>
      <c r="L46" s="342">
        <f t="shared" ca="1" si="14"/>
        <v>0</v>
      </c>
      <c r="M46" s="342"/>
      <c r="N46" s="332"/>
    </row>
    <row r="47" spans="1:14">
      <c r="A47" s="303" t="str">
        <f t="shared" ca="1" si="10"/>
        <v/>
      </c>
      <c r="B47" s="338" t="str">
        <f ca="1">IF(ROWS($1:34)&gt;COUNT(Dong11),"",OFFSET(TH!D$1,SMALL(Dong11,ROWS($1:34)),))</f>
        <v/>
      </c>
      <c r="C47" s="339" t="str">
        <f ca="1">IF(ROWS($1:34)&gt;COUNT(Dong11),"",OFFSET(TH!E$1,SMALL(Dong11,ROWS($1:34)),))</f>
        <v/>
      </c>
      <c r="D47" s="340" t="str">
        <f ca="1">IF(ROWS($1:34)&gt;COUNT(Dong11),"",OFFSET(TH!H$1,SMALL(Dong11,ROWS($1:34)),))</f>
        <v/>
      </c>
      <c r="E47" s="338" t="str">
        <f ca="1">IF(ROWS($1:34)&gt;COUNT(Dong11),"",IF(OFFSET(TH!L$1,SMALL(Dong11,ROWS($1:34)),)=$G$7,OFFSET(TH!M$1,SMALL(Dong11,ROWS($1:34)),),OFFSET(TH!L$1,SMALL(Dong11,ROWS($1:34)),)))</f>
        <v/>
      </c>
      <c r="F47" s="341">
        <f ca="1">IF(ROWS($1:34)&gt;COUNT(Dong11),0,OFFSET(TH!J$1,SMALL(Dong11,ROWS($1:34)),))</f>
        <v>0</v>
      </c>
      <c r="G47" s="341">
        <f ca="1">IF(ROWS($1:34)&gt;COUNT(Dong11),0,IF(MID(OFFSET(TH!D$1,SMALL(Dong11,ROWS($1:34)),),4,1)="N",OFFSET(TH!I$1,SMALL(Dong11,ROWS($1:34)),),0))</f>
        <v>0</v>
      </c>
      <c r="H47" s="342">
        <f t="shared" ca="1" si="11"/>
        <v>0</v>
      </c>
      <c r="I47" s="341">
        <f ca="1">IF(ROWS($1:34)&gt;COUNT(Dong11),0,IF(MID(OFFSET(TH!D$1,SMALL(Dong11,ROWS($1:34)),),4,1)="X",OFFSET(TH!I$1,SMALL(Dong11,ROWS($1:34)),),0))</f>
        <v>0</v>
      </c>
      <c r="J47" s="342">
        <f t="shared" ca="1" si="12"/>
        <v>0</v>
      </c>
      <c r="K47" s="342">
        <f t="shared" ca="1" si="13"/>
        <v>0</v>
      </c>
      <c r="L47" s="342">
        <f t="shared" ca="1" si="14"/>
        <v>0</v>
      </c>
      <c r="M47" s="342"/>
      <c r="N47" s="332"/>
    </row>
    <row r="48" spans="1:14">
      <c r="A48" s="303" t="str">
        <f t="shared" ca="1" si="10"/>
        <v/>
      </c>
      <c r="B48" s="338" t="str">
        <f ca="1">IF(ROWS($1:35)&gt;COUNT(Dong11),"",OFFSET(TH!D$1,SMALL(Dong11,ROWS($1:35)),))</f>
        <v/>
      </c>
      <c r="C48" s="339" t="str">
        <f ca="1">IF(ROWS($1:35)&gt;COUNT(Dong11),"",OFFSET(TH!E$1,SMALL(Dong11,ROWS($1:35)),))</f>
        <v/>
      </c>
      <c r="D48" s="340" t="str">
        <f ca="1">IF(ROWS($1:35)&gt;COUNT(Dong11),"",OFFSET(TH!H$1,SMALL(Dong11,ROWS($1:35)),))</f>
        <v/>
      </c>
      <c r="E48" s="338" t="str">
        <f ca="1">IF(ROWS($1:35)&gt;COUNT(Dong11),"",IF(OFFSET(TH!L$1,SMALL(Dong11,ROWS($1:35)),)=$G$7,OFFSET(TH!M$1,SMALL(Dong11,ROWS($1:35)),),OFFSET(TH!L$1,SMALL(Dong11,ROWS($1:35)),)))</f>
        <v/>
      </c>
      <c r="F48" s="341">
        <f ca="1">IF(ROWS($1:35)&gt;COUNT(Dong11),0,OFFSET(TH!J$1,SMALL(Dong11,ROWS($1:35)),))</f>
        <v>0</v>
      </c>
      <c r="G48" s="341">
        <f ca="1">IF(ROWS($1:35)&gt;COUNT(Dong11),0,IF(MID(OFFSET(TH!D$1,SMALL(Dong11,ROWS($1:35)),),4,1)="N",OFFSET(TH!I$1,SMALL(Dong11,ROWS($1:35)),),0))</f>
        <v>0</v>
      </c>
      <c r="H48" s="342">
        <f t="shared" ca="1" si="11"/>
        <v>0</v>
      </c>
      <c r="I48" s="341">
        <f ca="1">IF(ROWS($1:35)&gt;COUNT(Dong11),0,IF(MID(OFFSET(TH!D$1,SMALL(Dong11,ROWS($1:35)),),4,1)="X",OFFSET(TH!I$1,SMALL(Dong11,ROWS($1:35)),),0))</f>
        <v>0</v>
      </c>
      <c r="J48" s="342">
        <f t="shared" ca="1" si="12"/>
        <v>0</v>
      </c>
      <c r="K48" s="342">
        <f t="shared" ca="1" si="13"/>
        <v>0</v>
      </c>
      <c r="L48" s="342">
        <f t="shared" ca="1" si="14"/>
        <v>0</v>
      </c>
      <c r="M48" s="342"/>
      <c r="N48" s="332"/>
    </row>
    <row r="49" spans="1:14">
      <c r="A49" s="303" t="str">
        <f t="shared" ca="1" si="10"/>
        <v/>
      </c>
      <c r="B49" s="338" t="str">
        <f ca="1">IF(ROWS($1:36)&gt;COUNT(Dong11),"",OFFSET(TH!D$1,SMALL(Dong11,ROWS($1:36)),))</f>
        <v/>
      </c>
      <c r="C49" s="339" t="str">
        <f ca="1">IF(ROWS($1:36)&gt;COUNT(Dong11),"",OFFSET(TH!E$1,SMALL(Dong11,ROWS($1:36)),))</f>
        <v/>
      </c>
      <c r="D49" s="340" t="str">
        <f ca="1">IF(ROWS($1:36)&gt;COUNT(Dong11),"",OFFSET(TH!H$1,SMALL(Dong11,ROWS($1:36)),))</f>
        <v/>
      </c>
      <c r="E49" s="338" t="str">
        <f ca="1">IF(ROWS($1:36)&gt;COUNT(Dong11),"",IF(OFFSET(TH!L$1,SMALL(Dong11,ROWS($1:36)),)=$G$7,OFFSET(TH!M$1,SMALL(Dong11,ROWS($1:36)),),OFFSET(TH!L$1,SMALL(Dong11,ROWS($1:36)),)))</f>
        <v/>
      </c>
      <c r="F49" s="341">
        <f ca="1">IF(ROWS($1:36)&gt;COUNT(Dong11),0,OFFSET(TH!J$1,SMALL(Dong11,ROWS($1:36)),))</f>
        <v>0</v>
      </c>
      <c r="G49" s="341">
        <f ca="1">IF(ROWS($1:36)&gt;COUNT(Dong11),0,IF(MID(OFFSET(TH!D$1,SMALL(Dong11,ROWS($1:36)),),4,1)="N",OFFSET(TH!I$1,SMALL(Dong11,ROWS($1:36)),),0))</f>
        <v>0</v>
      </c>
      <c r="H49" s="342">
        <f t="shared" ca="1" si="11"/>
        <v>0</v>
      </c>
      <c r="I49" s="341">
        <f ca="1">IF(ROWS($1:36)&gt;COUNT(Dong11),0,IF(MID(OFFSET(TH!D$1,SMALL(Dong11,ROWS($1:36)),),4,1)="X",OFFSET(TH!I$1,SMALL(Dong11,ROWS($1:36)),),0))</f>
        <v>0</v>
      </c>
      <c r="J49" s="342">
        <f t="shared" ca="1" si="12"/>
        <v>0</v>
      </c>
      <c r="K49" s="342">
        <f t="shared" ca="1" si="13"/>
        <v>0</v>
      </c>
      <c r="L49" s="342">
        <f t="shared" ca="1" si="14"/>
        <v>0</v>
      </c>
      <c r="M49" s="342"/>
      <c r="N49" s="332"/>
    </row>
    <row r="50" spans="1:14">
      <c r="A50" s="303" t="str">
        <f t="shared" ca="1" si="10"/>
        <v/>
      </c>
      <c r="B50" s="338" t="str">
        <f ca="1">IF(ROWS($1:37)&gt;COUNT(Dong11),"",OFFSET(TH!D$1,SMALL(Dong11,ROWS($1:37)),))</f>
        <v/>
      </c>
      <c r="C50" s="339" t="str">
        <f ca="1">IF(ROWS($1:37)&gt;COUNT(Dong11),"",OFFSET(TH!E$1,SMALL(Dong11,ROWS($1:37)),))</f>
        <v/>
      </c>
      <c r="D50" s="340" t="str">
        <f ca="1">IF(ROWS($1:37)&gt;COUNT(Dong11),"",OFFSET(TH!H$1,SMALL(Dong11,ROWS($1:37)),))</f>
        <v/>
      </c>
      <c r="E50" s="338" t="str">
        <f ca="1">IF(ROWS($1:37)&gt;COUNT(Dong11),"",IF(OFFSET(TH!L$1,SMALL(Dong11,ROWS($1:37)),)=$G$7,OFFSET(TH!M$1,SMALL(Dong11,ROWS($1:37)),),OFFSET(TH!L$1,SMALL(Dong11,ROWS($1:37)),)))</f>
        <v/>
      </c>
      <c r="F50" s="341">
        <f ca="1">IF(ROWS($1:37)&gt;COUNT(Dong11),0,OFFSET(TH!J$1,SMALL(Dong11,ROWS($1:37)),))</f>
        <v>0</v>
      </c>
      <c r="G50" s="341">
        <f ca="1">IF(ROWS($1:37)&gt;COUNT(Dong11),0,IF(MID(OFFSET(TH!D$1,SMALL(Dong11,ROWS($1:37)),),4,1)="N",OFFSET(TH!I$1,SMALL(Dong11,ROWS($1:37)),),0))</f>
        <v>0</v>
      </c>
      <c r="H50" s="342">
        <f t="shared" ca="1" si="11"/>
        <v>0</v>
      </c>
      <c r="I50" s="341">
        <f ca="1">IF(ROWS($1:37)&gt;COUNT(Dong11),0,IF(MID(OFFSET(TH!D$1,SMALL(Dong11,ROWS($1:37)),),4,1)="X",OFFSET(TH!I$1,SMALL(Dong11,ROWS($1:37)),),0))</f>
        <v>0</v>
      </c>
      <c r="J50" s="342">
        <f t="shared" ca="1" si="12"/>
        <v>0</v>
      </c>
      <c r="K50" s="342">
        <f t="shared" ca="1" si="13"/>
        <v>0</v>
      </c>
      <c r="L50" s="342">
        <f t="shared" ca="1" si="14"/>
        <v>0</v>
      </c>
      <c r="M50" s="342"/>
      <c r="N50" s="332"/>
    </row>
    <row r="51" spans="1:14">
      <c r="A51" s="303" t="str">
        <f t="shared" ca="1" si="10"/>
        <v/>
      </c>
      <c r="B51" s="338" t="str">
        <f ca="1">IF(ROWS($1:38)&gt;COUNT(Dong11),"",OFFSET(TH!D$1,SMALL(Dong11,ROWS($1:38)),))</f>
        <v/>
      </c>
      <c r="C51" s="339" t="str">
        <f ca="1">IF(ROWS($1:38)&gt;COUNT(Dong11),"",OFFSET(TH!E$1,SMALL(Dong11,ROWS($1:38)),))</f>
        <v/>
      </c>
      <c r="D51" s="340" t="str">
        <f ca="1">IF(ROWS($1:38)&gt;COUNT(Dong11),"",OFFSET(TH!H$1,SMALL(Dong11,ROWS($1:38)),))</f>
        <v/>
      </c>
      <c r="E51" s="338" t="str">
        <f ca="1">IF(ROWS($1:38)&gt;COUNT(Dong11),"",IF(OFFSET(TH!L$1,SMALL(Dong11,ROWS($1:38)),)=$G$7,OFFSET(TH!M$1,SMALL(Dong11,ROWS($1:38)),),OFFSET(TH!L$1,SMALL(Dong11,ROWS($1:38)),)))</f>
        <v/>
      </c>
      <c r="F51" s="341">
        <f ca="1">IF(ROWS($1:38)&gt;COUNT(Dong11),0,OFFSET(TH!J$1,SMALL(Dong11,ROWS($1:38)),))</f>
        <v>0</v>
      </c>
      <c r="G51" s="341">
        <f ca="1">IF(ROWS($1:38)&gt;COUNT(Dong11),0,IF(MID(OFFSET(TH!D$1,SMALL(Dong11,ROWS($1:38)),),4,1)="N",OFFSET(TH!I$1,SMALL(Dong11,ROWS($1:38)),),0))</f>
        <v>0</v>
      </c>
      <c r="H51" s="342">
        <f t="shared" ca="1" si="11"/>
        <v>0</v>
      </c>
      <c r="I51" s="341">
        <f ca="1">IF(ROWS($1:38)&gt;COUNT(Dong11),0,IF(MID(OFFSET(TH!D$1,SMALL(Dong11,ROWS($1:38)),),4,1)="X",OFFSET(TH!I$1,SMALL(Dong11,ROWS($1:38)),),0))</f>
        <v>0</v>
      </c>
      <c r="J51" s="342">
        <f t="shared" ca="1" si="12"/>
        <v>0</v>
      </c>
      <c r="K51" s="342">
        <f t="shared" ca="1" si="13"/>
        <v>0</v>
      </c>
      <c r="L51" s="342">
        <f t="shared" ca="1" si="14"/>
        <v>0</v>
      </c>
      <c r="M51" s="342"/>
      <c r="N51" s="332"/>
    </row>
    <row r="52" spans="1:14">
      <c r="A52" s="303" t="str">
        <f t="shared" ca="1" si="10"/>
        <v/>
      </c>
      <c r="B52" s="338" t="str">
        <f ca="1">IF(ROWS($1:39)&gt;COUNT(Dong11),"",OFFSET(TH!D$1,SMALL(Dong11,ROWS($1:39)),))</f>
        <v/>
      </c>
      <c r="C52" s="339" t="str">
        <f ca="1">IF(ROWS($1:39)&gt;COUNT(Dong11),"",OFFSET(TH!E$1,SMALL(Dong11,ROWS($1:39)),))</f>
        <v/>
      </c>
      <c r="D52" s="340" t="str">
        <f ca="1">IF(ROWS($1:39)&gt;COUNT(Dong11),"",OFFSET(TH!H$1,SMALL(Dong11,ROWS($1:39)),))</f>
        <v/>
      </c>
      <c r="E52" s="338" t="str">
        <f ca="1">IF(ROWS($1:39)&gt;COUNT(Dong11),"",IF(OFFSET(TH!L$1,SMALL(Dong11,ROWS($1:39)),)=$G$7,OFFSET(TH!M$1,SMALL(Dong11,ROWS($1:39)),),OFFSET(TH!L$1,SMALL(Dong11,ROWS($1:39)),)))</f>
        <v/>
      </c>
      <c r="F52" s="341">
        <f ca="1">IF(ROWS($1:39)&gt;COUNT(Dong11),0,OFFSET(TH!J$1,SMALL(Dong11,ROWS($1:39)),))</f>
        <v>0</v>
      </c>
      <c r="G52" s="341">
        <f ca="1">IF(ROWS($1:39)&gt;COUNT(Dong11),0,IF(MID(OFFSET(TH!D$1,SMALL(Dong11,ROWS($1:39)),),4,1)="N",OFFSET(TH!I$1,SMALL(Dong11,ROWS($1:39)),),0))</f>
        <v>0</v>
      </c>
      <c r="H52" s="342">
        <f t="shared" ca="1" si="11"/>
        <v>0</v>
      </c>
      <c r="I52" s="341">
        <f ca="1">IF(ROWS($1:39)&gt;COUNT(Dong11),0,IF(MID(OFFSET(TH!D$1,SMALL(Dong11,ROWS($1:39)),),4,1)="X",OFFSET(TH!I$1,SMALL(Dong11,ROWS($1:39)),),0))</f>
        <v>0</v>
      </c>
      <c r="J52" s="342">
        <f t="shared" ca="1" si="12"/>
        <v>0</v>
      </c>
      <c r="K52" s="342">
        <f t="shared" ca="1" si="13"/>
        <v>0</v>
      </c>
      <c r="L52" s="342">
        <f t="shared" ca="1" si="14"/>
        <v>0</v>
      </c>
      <c r="M52" s="342"/>
      <c r="N52" s="332"/>
    </row>
    <row r="53" spans="1:14">
      <c r="A53" s="303" t="str">
        <f t="shared" ca="1" si="10"/>
        <v/>
      </c>
      <c r="B53" s="338" t="str">
        <f ca="1">IF(ROWS($1:40)&gt;COUNT(Dong11),"",OFFSET(TH!D$1,SMALL(Dong11,ROWS($1:40)),))</f>
        <v/>
      </c>
      <c r="C53" s="339" t="str">
        <f ca="1">IF(ROWS($1:40)&gt;COUNT(Dong11),"",OFFSET(TH!E$1,SMALL(Dong11,ROWS($1:40)),))</f>
        <v/>
      </c>
      <c r="D53" s="340" t="str">
        <f ca="1">IF(ROWS($1:40)&gt;COUNT(Dong11),"",OFFSET(TH!H$1,SMALL(Dong11,ROWS($1:40)),))</f>
        <v/>
      </c>
      <c r="E53" s="338" t="str">
        <f ca="1">IF(ROWS($1:40)&gt;COUNT(Dong11),"",IF(OFFSET(TH!L$1,SMALL(Dong11,ROWS($1:40)),)=$G$7,OFFSET(TH!M$1,SMALL(Dong11,ROWS($1:40)),),OFFSET(TH!L$1,SMALL(Dong11,ROWS($1:40)),)))</f>
        <v/>
      </c>
      <c r="F53" s="341">
        <f ca="1">IF(ROWS($1:40)&gt;COUNT(Dong11),0,OFFSET(TH!J$1,SMALL(Dong11,ROWS($1:40)),))</f>
        <v>0</v>
      </c>
      <c r="G53" s="341">
        <f ca="1">IF(ROWS($1:40)&gt;COUNT(Dong11),0,IF(MID(OFFSET(TH!D$1,SMALL(Dong11,ROWS($1:40)),),4,1)="N",OFFSET(TH!I$1,SMALL(Dong11,ROWS($1:40)),),0))</f>
        <v>0</v>
      </c>
      <c r="H53" s="342">
        <f t="shared" ca="1" si="11"/>
        <v>0</v>
      </c>
      <c r="I53" s="341">
        <f ca="1">IF(ROWS($1:40)&gt;COUNT(Dong11),0,IF(MID(OFFSET(TH!D$1,SMALL(Dong11,ROWS($1:40)),),4,1)="X",OFFSET(TH!I$1,SMALL(Dong11,ROWS($1:40)),),0))</f>
        <v>0</v>
      </c>
      <c r="J53" s="342">
        <f t="shared" ca="1" si="12"/>
        <v>0</v>
      </c>
      <c r="K53" s="342">
        <f t="shared" ca="1" si="13"/>
        <v>0</v>
      </c>
      <c r="L53" s="342">
        <f t="shared" ca="1" si="14"/>
        <v>0</v>
      </c>
      <c r="M53" s="342"/>
      <c r="N53" s="332"/>
    </row>
    <row r="54" spans="1:14">
      <c r="A54" s="303" t="str">
        <f t="shared" ca="1" si="10"/>
        <v/>
      </c>
      <c r="B54" s="338" t="str">
        <f ca="1">IF(ROWS($1:41)&gt;COUNT(Dong11),"",OFFSET(TH!D$1,SMALL(Dong11,ROWS($1:41)),))</f>
        <v/>
      </c>
      <c r="C54" s="339" t="str">
        <f ca="1">IF(ROWS($1:41)&gt;COUNT(Dong11),"",OFFSET(TH!E$1,SMALL(Dong11,ROWS($1:41)),))</f>
        <v/>
      </c>
      <c r="D54" s="340" t="str">
        <f ca="1">IF(ROWS($1:41)&gt;COUNT(Dong11),"",OFFSET(TH!H$1,SMALL(Dong11,ROWS($1:41)),))</f>
        <v/>
      </c>
      <c r="E54" s="338" t="str">
        <f ca="1">IF(ROWS($1:41)&gt;COUNT(Dong11),"",IF(OFFSET(TH!L$1,SMALL(Dong11,ROWS($1:41)),)=$G$7,OFFSET(TH!M$1,SMALL(Dong11,ROWS($1:41)),),OFFSET(TH!L$1,SMALL(Dong11,ROWS($1:41)),)))</f>
        <v/>
      </c>
      <c r="F54" s="341">
        <f ca="1">IF(ROWS($1:41)&gt;COUNT(Dong11),0,OFFSET(TH!J$1,SMALL(Dong11,ROWS($1:41)),))</f>
        <v>0</v>
      </c>
      <c r="G54" s="341">
        <f ca="1">IF(ROWS($1:41)&gt;COUNT(Dong11),0,IF(MID(OFFSET(TH!D$1,SMALL(Dong11,ROWS($1:41)),),4,1)="N",OFFSET(TH!I$1,SMALL(Dong11,ROWS($1:41)),),0))</f>
        <v>0</v>
      </c>
      <c r="H54" s="342">
        <f t="shared" ca="1" si="11"/>
        <v>0</v>
      </c>
      <c r="I54" s="341">
        <f ca="1">IF(ROWS($1:41)&gt;COUNT(Dong11),0,IF(MID(OFFSET(TH!D$1,SMALL(Dong11,ROWS($1:41)),),4,1)="X",OFFSET(TH!I$1,SMALL(Dong11,ROWS($1:41)),),0))</f>
        <v>0</v>
      </c>
      <c r="J54" s="342">
        <f t="shared" ca="1" si="12"/>
        <v>0</v>
      </c>
      <c r="K54" s="342">
        <f t="shared" ca="1" si="13"/>
        <v>0</v>
      </c>
      <c r="L54" s="342">
        <f t="shared" ca="1" si="14"/>
        <v>0</v>
      </c>
      <c r="M54" s="342"/>
      <c r="N54" s="332"/>
    </row>
    <row r="55" spans="1:14">
      <c r="A55" s="303" t="str">
        <f t="shared" ca="1" si="10"/>
        <v/>
      </c>
      <c r="B55" s="338" t="str">
        <f ca="1">IF(ROWS($1:42)&gt;COUNT(Dong11),"",OFFSET(TH!D$1,SMALL(Dong11,ROWS($1:42)),))</f>
        <v/>
      </c>
      <c r="C55" s="339" t="str">
        <f ca="1">IF(ROWS($1:42)&gt;COUNT(Dong11),"",OFFSET(TH!E$1,SMALL(Dong11,ROWS($1:42)),))</f>
        <v/>
      </c>
      <c r="D55" s="340" t="str">
        <f ca="1">IF(ROWS($1:42)&gt;COUNT(Dong11),"",OFFSET(TH!H$1,SMALL(Dong11,ROWS($1:42)),))</f>
        <v/>
      </c>
      <c r="E55" s="338" t="str">
        <f ca="1">IF(ROWS($1:42)&gt;COUNT(Dong11),"",IF(OFFSET(TH!L$1,SMALL(Dong11,ROWS($1:42)),)=$G$7,OFFSET(TH!M$1,SMALL(Dong11,ROWS($1:42)),),OFFSET(TH!L$1,SMALL(Dong11,ROWS($1:42)),)))</f>
        <v/>
      </c>
      <c r="F55" s="341">
        <f ca="1">IF(ROWS($1:42)&gt;COUNT(Dong11),0,OFFSET(TH!J$1,SMALL(Dong11,ROWS($1:42)),))</f>
        <v>0</v>
      </c>
      <c r="G55" s="341">
        <f ca="1">IF(ROWS($1:42)&gt;COUNT(Dong11),0,IF(MID(OFFSET(TH!D$1,SMALL(Dong11,ROWS($1:42)),),4,1)="N",OFFSET(TH!I$1,SMALL(Dong11,ROWS($1:42)),),0))</f>
        <v>0</v>
      </c>
      <c r="H55" s="342">
        <f t="shared" ca="1" si="11"/>
        <v>0</v>
      </c>
      <c r="I55" s="341">
        <f ca="1">IF(ROWS($1:42)&gt;COUNT(Dong11),0,IF(MID(OFFSET(TH!D$1,SMALL(Dong11,ROWS($1:42)),),4,1)="X",OFFSET(TH!I$1,SMALL(Dong11,ROWS($1:42)),),0))</f>
        <v>0</v>
      </c>
      <c r="J55" s="342">
        <f t="shared" ca="1" si="12"/>
        <v>0</v>
      </c>
      <c r="K55" s="342">
        <f t="shared" ca="1" si="13"/>
        <v>0</v>
      </c>
      <c r="L55" s="342">
        <f t="shared" ca="1" si="14"/>
        <v>0</v>
      </c>
      <c r="M55" s="342"/>
      <c r="N55" s="332"/>
    </row>
    <row r="56" spans="1:14">
      <c r="A56" s="303" t="str">
        <f t="shared" ca="1" si="10"/>
        <v/>
      </c>
      <c r="B56" s="338" t="str">
        <f ca="1">IF(ROWS($1:43)&gt;COUNT(Dong11),"",OFFSET(TH!D$1,SMALL(Dong11,ROWS($1:43)),))</f>
        <v/>
      </c>
      <c r="C56" s="339" t="str">
        <f ca="1">IF(ROWS($1:43)&gt;COUNT(Dong11),"",OFFSET(TH!E$1,SMALL(Dong11,ROWS($1:43)),))</f>
        <v/>
      </c>
      <c r="D56" s="340" t="str">
        <f ca="1">IF(ROWS($1:43)&gt;COUNT(Dong11),"",OFFSET(TH!H$1,SMALL(Dong11,ROWS($1:43)),))</f>
        <v/>
      </c>
      <c r="E56" s="338" t="str">
        <f ca="1">IF(ROWS($1:43)&gt;COUNT(Dong11),"",IF(OFFSET(TH!L$1,SMALL(Dong11,ROWS($1:43)),)=$G$7,OFFSET(TH!M$1,SMALL(Dong11,ROWS($1:43)),),OFFSET(TH!L$1,SMALL(Dong11,ROWS($1:43)),)))</f>
        <v/>
      </c>
      <c r="F56" s="341">
        <f ca="1">IF(ROWS($1:43)&gt;COUNT(Dong11),0,OFFSET(TH!J$1,SMALL(Dong11,ROWS($1:43)),))</f>
        <v>0</v>
      </c>
      <c r="G56" s="341">
        <f ca="1">IF(ROWS($1:43)&gt;COUNT(Dong11),0,IF(MID(OFFSET(TH!D$1,SMALL(Dong11,ROWS($1:43)),),4,1)="N",OFFSET(TH!I$1,SMALL(Dong11,ROWS($1:43)),),0))</f>
        <v>0</v>
      </c>
      <c r="H56" s="342">
        <f t="shared" ca="1" si="11"/>
        <v>0</v>
      </c>
      <c r="I56" s="341">
        <f ca="1">IF(ROWS($1:43)&gt;COUNT(Dong11),0,IF(MID(OFFSET(TH!D$1,SMALL(Dong11,ROWS($1:43)),),4,1)="X",OFFSET(TH!I$1,SMALL(Dong11,ROWS($1:43)),),0))</f>
        <v>0</v>
      </c>
      <c r="J56" s="342">
        <f t="shared" ca="1" si="12"/>
        <v>0</v>
      </c>
      <c r="K56" s="342">
        <f t="shared" ca="1" si="13"/>
        <v>0</v>
      </c>
      <c r="L56" s="342">
        <f t="shared" ca="1" si="14"/>
        <v>0</v>
      </c>
      <c r="M56" s="342"/>
      <c r="N56" s="332"/>
    </row>
    <row r="57" spans="1:14">
      <c r="A57" s="303" t="str">
        <f t="shared" ca="1" si="10"/>
        <v/>
      </c>
      <c r="B57" s="338" t="str">
        <f ca="1">IF(ROWS($1:44)&gt;COUNT(Dong11),"",OFFSET(TH!D$1,SMALL(Dong11,ROWS($1:44)),))</f>
        <v/>
      </c>
      <c r="C57" s="339" t="str">
        <f ca="1">IF(ROWS($1:44)&gt;COUNT(Dong11),"",OFFSET(TH!E$1,SMALL(Dong11,ROWS($1:44)),))</f>
        <v/>
      </c>
      <c r="D57" s="340" t="str">
        <f ca="1">IF(ROWS($1:44)&gt;COUNT(Dong11),"",OFFSET(TH!H$1,SMALL(Dong11,ROWS($1:44)),))</f>
        <v/>
      </c>
      <c r="E57" s="338" t="str">
        <f ca="1">IF(ROWS($1:44)&gt;COUNT(Dong11),"",IF(OFFSET(TH!L$1,SMALL(Dong11,ROWS($1:44)),)=$G$7,OFFSET(TH!M$1,SMALL(Dong11,ROWS($1:44)),),OFFSET(TH!L$1,SMALL(Dong11,ROWS($1:44)),)))</f>
        <v/>
      </c>
      <c r="F57" s="341">
        <f ca="1">IF(ROWS($1:44)&gt;COUNT(Dong11),0,OFFSET(TH!J$1,SMALL(Dong11,ROWS($1:44)),))</f>
        <v>0</v>
      </c>
      <c r="G57" s="341">
        <f ca="1">IF(ROWS($1:44)&gt;COUNT(Dong11),0,IF(MID(OFFSET(TH!D$1,SMALL(Dong11,ROWS($1:44)),),4,1)="N",OFFSET(TH!I$1,SMALL(Dong11,ROWS($1:44)),),0))</f>
        <v>0</v>
      </c>
      <c r="H57" s="342">
        <f t="shared" ca="1" si="11"/>
        <v>0</v>
      </c>
      <c r="I57" s="341">
        <f ca="1">IF(ROWS($1:44)&gt;COUNT(Dong11),0,IF(MID(OFFSET(TH!D$1,SMALL(Dong11,ROWS($1:44)),),4,1)="X",OFFSET(TH!I$1,SMALL(Dong11,ROWS($1:44)),),0))</f>
        <v>0</v>
      </c>
      <c r="J57" s="342">
        <f t="shared" ca="1" si="12"/>
        <v>0</v>
      </c>
      <c r="K57" s="342">
        <f t="shared" ca="1" si="13"/>
        <v>0</v>
      </c>
      <c r="L57" s="342">
        <f t="shared" ca="1" si="14"/>
        <v>0</v>
      </c>
      <c r="M57" s="342"/>
      <c r="N57" s="332"/>
    </row>
    <row r="58" spans="1:14">
      <c r="A58" s="303" t="str">
        <f t="shared" ca="1" si="10"/>
        <v/>
      </c>
      <c r="B58" s="338" t="str">
        <f ca="1">IF(ROWS($1:45)&gt;COUNT(Dong11),"",OFFSET(TH!D$1,SMALL(Dong11,ROWS($1:45)),))</f>
        <v/>
      </c>
      <c r="C58" s="339" t="str">
        <f ca="1">IF(ROWS($1:45)&gt;COUNT(Dong11),"",OFFSET(TH!E$1,SMALL(Dong11,ROWS($1:45)),))</f>
        <v/>
      </c>
      <c r="D58" s="340" t="str">
        <f ca="1">IF(ROWS($1:45)&gt;COUNT(Dong11),"",OFFSET(TH!H$1,SMALL(Dong11,ROWS($1:45)),))</f>
        <v/>
      </c>
      <c r="E58" s="338" t="str">
        <f ca="1">IF(ROWS($1:45)&gt;COUNT(Dong11),"",IF(OFFSET(TH!L$1,SMALL(Dong11,ROWS($1:45)),)=$G$7,OFFSET(TH!M$1,SMALL(Dong11,ROWS($1:45)),),OFFSET(TH!L$1,SMALL(Dong11,ROWS($1:45)),)))</f>
        <v/>
      </c>
      <c r="F58" s="341">
        <f ca="1">IF(ROWS($1:45)&gt;COUNT(Dong11),0,OFFSET(TH!J$1,SMALL(Dong11,ROWS($1:45)),))</f>
        <v>0</v>
      </c>
      <c r="G58" s="341">
        <f ca="1">IF(ROWS($1:45)&gt;COUNT(Dong11),0,IF(MID(OFFSET(TH!D$1,SMALL(Dong11,ROWS($1:45)),),4,1)="N",OFFSET(TH!I$1,SMALL(Dong11,ROWS($1:45)),),0))</f>
        <v>0</v>
      </c>
      <c r="H58" s="342">
        <f t="shared" ca="1" si="11"/>
        <v>0</v>
      </c>
      <c r="I58" s="341">
        <f ca="1">IF(ROWS($1:45)&gt;COUNT(Dong11),0,IF(MID(OFFSET(TH!D$1,SMALL(Dong11,ROWS($1:45)),),4,1)="X",OFFSET(TH!I$1,SMALL(Dong11,ROWS($1:45)),),0))</f>
        <v>0</v>
      </c>
      <c r="J58" s="342">
        <f t="shared" ca="1" si="12"/>
        <v>0</v>
      </c>
      <c r="K58" s="342">
        <f t="shared" ca="1" si="13"/>
        <v>0</v>
      </c>
      <c r="L58" s="342">
        <f t="shared" ca="1" si="14"/>
        <v>0</v>
      </c>
      <c r="M58" s="342"/>
      <c r="N58" s="332"/>
    </row>
    <row r="59" spans="1:14">
      <c r="A59" s="303" t="str">
        <f t="shared" ca="1" si="10"/>
        <v/>
      </c>
      <c r="B59" s="338" t="str">
        <f ca="1">IF(ROWS($1:46)&gt;COUNT(Dong11),"",OFFSET(TH!D$1,SMALL(Dong11,ROWS($1:46)),))</f>
        <v/>
      </c>
      <c r="C59" s="339" t="str">
        <f ca="1">IF(ROWS($1:46)&gt;COUNT(Dong11),"",OFFSET(TH!E$1,SMALL(Dong11,ROWS($1:46)),))</f>
        <v/>
      </c>
      <c r="D59" s="340" t="str">
        <f ca="1">IF(ROWS($1:46)&gt;COUNT(Dong11),"",OFFSET(TH!H$1,SMALL(Dong11,ROWS($1:46)),))</f>
        <v/>
      </c>
      <c r="E59" s="338" t="str">
        <f ca="1">IF(ROWS($1:46)&gt;COUNT(Dong11),"",IF(OFFSET(TH!L$1,SMALL(Dong11,ROWS($1:46)),)=$G$7,OFFSET(TH!M$1,SMALL(Dong11,ROWS($1:46)),),OFFSET(TH!L$1,SMALL(Dong11,ROWS($1:46)),)))</f>
        <v/>
      </c>
      <c r="F59" s="341">
        <f ca="1">IF(ROWS($1:46)&gt;COUNT(Dong11),0,OFFSET(TH!J$1,SMALL(Dong11,ROWS($1:46)),))</f>
        <v>0</v>
      </c>
      <c r="G59" s="341">
        <f ca="1">IF(ROWS($1:46)&gt;COUNT(Dong11),0,IF(MID(OFFSET(TH!D$1,SMALL(Dong11,ROWS($1:46)),),4,1)="N",OFFSET(TH!I$1,SMALL(Dong11,ROWS($1:46)),),0))</f>
        <v>0</v>
      </c>
      <c r="H59" s="342">
        <f t="shared" ca="1" si="11"/>
        <v>0</v>
      </c>
      <c r="I59" s="341">
        <f ca="1">IF(ROWS($1:46)&gt;COUNT(Dong11),0,IF(MID(OFFSET(TH!D$1,SMALL(Dong11,ROWS($1:46)),),4,1)="X",OFFSET(TH!I$1,SMALL(Dong11,ROWS($1:46)),),0))</f>
        <v>0</v>
      </c>
      <c r="J59" s="342">
        <f t="shared" ca="1" si="12"/>
        <v>0</v>
      </c>
      <c r="K59" s="342">
        <f t="shared" ca="1" si="13"/>
        <v>0</v>
      </c>
      <c r="L59" s="342">
        <f t="shared" ca="1" si="14"/>
        <v>0</v>
      </c>
      <c r="M59" s="342"/>
      <c r="N59" s="332"/>
    </row>
    <row r="60" spans="1:14">
      <c r="A60" s="303" t="str">
        <f t="shared" ca="1" si="10"/>
        <v/>
      </c>
      <c r="B60" s="338" t="str">
        <f ca="1">IF(ROWS($1:47)&gt;COUNT(Dong11),"",OFFSET(TH!D$1,SMALL(Dong11,ROWS($1:47)),))</f>
        <v/>
      </c>
      <c r="C60" s="339" t="str">
        <f ca="1">IF(ROWS($1:47)&gt;COUNT(Dong11),"",OFFSET(TH!E$1,SMALL(Dong11,ROWS($1:47)),))</f>
        <v/>
      </c>
      <c r="D60" s="340" t="str">
        <f ca="1">IF(ROWS($1:47)&gt;COUNT(Dong11),"",OFFSET(TH!H$1,SMALL(Dong11,ROWS($1:47)),))</f>
        <v/>
      </c>
      <c r="E60" s="338" t="str">
        <f ca="1">IF(ROWS($1:47)&gt;COUNT(Dong11),"",IF(OFFSET(TH!L$1,SMALL(Dong11,ROWS($1:47)),)=$G$7,OFFSET(TH!M$1,SMALL(Dong11,ROWS($1:47)),),OFFSET(TH!L$1,SMALL(Dong11,ROWS($1:47)),)))</f>
        <v/>
      </c>
      <c r="F60" s="341">
        <f ca="1">IF(ROWS($1:47)&gt;COUNT(Dong11),0,OFFSET(TH!J$1,SMALL(Dong11,ROWS($1:47)),))</f>
        <v>0</v>
      </c>
      <c r="G60" s="341">
        <f ca="1">IF(ROWS($1:47)&gt;COUNT(Dong11),0,IF(MID(OFFSET(TH!D$1,SMALL(Dong11,ROWS($1:47)),),4,1)="N",OFFSET(TH!I$1,SMALL(Dong11,ROWS($1:47)),),0))</f>
        <v>0</v>
      </c>
      <c r="H60" s="342">
        <f t="shared" ca="1" si="11"/>
        <v>0</v>
      </c>
      <c r="I60" s="341">
        <f ca="1">IF(ROWS($1:47)&gt;COUNT(Dong11),0,IF(MID(OFFSET(TH!D$1,SMALL(Dong11,ROWS($1:47)),),4,1)="X",OFFSET(TH!I$1,SMALL(Dong11,ROWS($1:47)),),0))</f>
        <v>0</v>
      </c>
      <c r="J60" s="342">
        <f t="shared" ca="1" si="12"/>
        <v>0</v>
      </c>
      <c r="K60" s="342">
        <f t="shared" ca="1" si="13"/>
        <v>0</v>
      </c>
      <c r="L60" s="342">
        <f t="shared" ca="1" si="14"/>
        <v>0</v>
      </c>
      <c r="M60" s="342"/>
      <c r="N60" s="332"/>
    </row>
    <row r="61" spans="1:14">
      <c r="A61" s="303" t="str">
        <f t="shared" ca="1" si="10"/>
        <v/>
      </c>
      <c r="B61" s="338" t="str">
        <f ca="1">IF(ROWS($1:48)&gt;COUNT(Dong11),"",OFFSET(TH!D$1,SMALL(Dong11,ROWS($1:48)),))</f>
        <v/>
      </c>
      <c r="C61" s="339" t="str">
        <f ca="1">IF(ROWS($1:48)&gt;COUNT(Dong11),"",OFFSET(TH!E$1,SMALL(Dong11,ROWS($1:48)),))</f>
        <v/>
      </c>
      <c r="D61" s="340" t="str">
        <f ca="1">IF(ROWS($1:48)&gt;COUNT(Dong11),"",OFFSET(TH!H$1,SMALL(Dong11,ROWS($1:48)),))</f>
        <v/>
      </c>
      <c r="E61" s="338" t="str">
        <f ca="1">IF(ROWS($1:48)&gt;COUNT(Dong11),"",IF(OFFSET(TH!L$1,SMALL(Dong11,ROWS($1:48)),)=$G$7,OFFSET(TH!M$1,SMALL(Dong11,ROWS($1:48)),),OFFSET(TH!L$1,SMALL(Dong11,ROWS($1:48)),)))</f>
        <v/>
      </c>
      <c r="F61" s="341">
        <f ca="1">IF(ROWS($1:48)&gt;COUNT(Dong11),0,OFFSET(TH!J$1,SMALL(Dong11,ROWS($1:48)),))</f>
        <v>0</v>
      </c>
      <c r="G61" s="341">
        <f ca="1">IF(ROWS($1:48)&gt;COUNT(Dong11),0,IF(MID(OFFSET(TH!D$1,SMALL(Dong11,ROWS($1:48)),),4,1)="N",OFFSET(TH!I$1,SMALL(Dong11,ROWS($1:48)),),0))</f>
        <v>0</v>
      </c>
      <c r="H61" s="342">
        <f t="shared" ca="1" si="11"/>
        <v>0</v>
      </c>
      <c r="I61" s="341">
        <f ca="1">IF(ROWS($1:48)&gt;COUNT(Dong11),0,IF(MID(OFFSET(TH!D$1,SMALL(Dong11,ROWS($1:48)),),4,1)="X",OFFSET(TH!I$1,SMALL(Dong11,ROWS($1:48)),),0))</f>
        <v>0</v>
      </c>
      <c r="J61" s="342">
        <f t="shared" ca="1" si="12"/>
        <v>0</v>
      </c>
      <c r="K61" s="342">
        <f t="shared" ca="1" si="13"/>
        <v>0</v>
      </c>
      <c r="L61" s="342">
        <f t="shared" ca="1" si="14"/>
        <v>0</v>
      </c>
      <c r="M61" s="342"/>
      <c r="N61" s="332"/>
    </row>
    <row r="62" spans="1:14">
      <c r="A62" s="303" t="str">
        <f t="shared" ca="1" si="10"/>
        <v/>
      </c>
      <c r="B62" s="338" t="str">
        <f ca="1">IF(ROWS($1:49)&gt;COUNT(Dong11),"",OFFSET(TH!D$1,SMALL(Dong11,ROWS($1:49)),))</f>
        <v/>
      </c>
      <c r="C62" s="339" t="str">
        <f ca="1">IF(ROWS($1:49)&gt;COUNT(Dong11),"",OFFSET(TH!E$1,SMALL(Dong11,ROWS($1:49)),))</f>
        <v/>
      </c>
      <c r="D62" s="340" t="str">
        <f ca="1">IF(ROWS($1:49)&gt;COUNT(Dong11),"",OFFSET(TH!H$1,SMALL(Dong11,ROWS($1:49)),))</f>
        <v/>
      </c>
      <c r="E62" s="338" t="str">
        <f ca="1">IF(ROWS($1:49)&gt;COUNT(Dong11),"",IF(OFFSET(TH!L$1,SMALL(Dong11,ROWS($1:49)),)=$G$7,OFFSET(TH!M$1,SMALL(Dong11,ROWS($1:49)),),OFFSET(TH!L$1,SMALL(Dong11,ROWS($1:49)),)))</f>
        <v/>
      </c>
      <c r="F62" s="341">
        <f ca="1">IF(ROWS($1:49)&gt;COUNT(Dong11),0,OFFSET(TH!J$1,SMALL(Dong11,ROWS($1:49)),))</f>
        <v>0</v>
      </c>
      <c r="G62" s="341">
        <f ca="1">IF(ROWS($1:49)&gt;COUNT(Dong11),0,IF(MID(OFFSET(TH!D$1,SMALL(Dong11,ROWS($1:49)),),4,1)="N",OFFSET(TH!I$1,SMALL(Dong11,ROWS($1:49)),),0))</f>
        <v>0</v>
      </c>
      <c r="H62" s="342">
        <f t="shared" ca="1" si="11"/>
        <v>0</v>
      </c>
      <c r="I62" s="341">
        <f ca="1">IF(ROWS($1:49)&gt;COUNT(Dong11),0,IF(MID(OFFSET(TH!D$1,SMALL(Dong11,ROWS($1:49)),),4,1)="X",OFFSET(TH!I$1,SMALL(Dong11,ROWS($1:49)),),0))</f>
        <v>0</v>
      </c>
      <c r="J62" s="342">
        <f t="shared" ca="1" si="12"/>
        <v>0</v>
      </c>
      <c r="K62" s="342">
        <f t="shared" ca="1" si="13"/>
        <v>0</v>
      </c>
      <c r="L62" s="342">
        <f t="shared" ca="1" si="14"/>
        <v>0</v>
      </c>
      <c r="M62" s="342"/>
      <c r="N62" s="332"/>
    </row>
    <row r="63" spans="1:14">
      <c r="A63" s="303" t="str">
        <f t="shared" ref="A63:A72" ca="1" si="15">IF(B63="","",A62+1)</f>
        <v/>
      </c>
      <c r="B63" s="338" t="str">
        <f ca="1">IF(ROWS($1:50)&gt;COUNT(Dong11),"",OFFSET(TH!D$1,SMALL(Dong11,ROWS($1:50)),))</f>
        <v/>
      </c>
      <c r="C63" s="339" t="str">
        <f ca="1">IF(ROWS($1:50)&gt;COUNT(Dong11),"",OFFSET(TH!E$1,SMALL(Dong11,ROWS($1:50)),))</f>
        <v/>
      </c>
      <c r="D63" s="340" t="str">
        <f ca="1">IF(ROWS($1:50)&gt;COUNT(Dong11),"",OFFSET(TH!H$1,SMALL(Dong11,ROWS($1:50)),))</f>
        <v/>
      </c>
      <c r="E63" s="338" t="str">
        <f ca="1">IF(ROWS($1:50)&gt;COUNT(Dong11),"",IF(OFFSET(TH!L$1,SMALL(Dong11,ROWS($1:50)),)=$G$7,OFFSET(TH!M$1,SMALL(Dong11,ROWS($1:50)),),OFFSET(TH!L$1,SMALL(Dong11,ROWS($1:50)),)))</f>
        <v/>
      </c>
      <c r="F63" s="341">
        <f ca="1">IF(ROWS($1:50)&gt;COUNT(Dong11),0,OFFSET(TH!J$1,SMALL(Dong11,ROWS($1:50)),))</f>
        <v>0</v>
      </c>
      <c r="G63" s="341">
        <f ca="1">IF(ROWS($1:50)&gt;COUNT(Dong11),0,IF(MID(OFFSET(TH!D$1,SMALL(Dong11,ROWS($1:50)),),4,1)="N",OFFSET(TH!I$1,SMALL(Dong11,ROWS($1:50)),),0))</f>
        <v>0</v>
      </c>
      <c r="H63" s="342">
        <f t="shared" ref="H63:H72" ca="1" si="16">ROUND(F63*G63,0)</f>
        <v>0</v>
      </c>
      <c r="I63" s="341">
        <f ca="1">IF(ROWS($1:50)&gt;COUNT(Dong11),0,IF(MID(OFFSET(TH!D$1,SMALL(Dong11,ROWS($1:50)),),4,1)="X",OFFSET(TH!I$1,SMALL(Dong11,ROWS($1:50)),),0))</f>
        <v>0</v>
      </c>
      <c r="J63" s="342">
        <f t="shared" ref="J63:J72" ca="1" si="17">ROUND(F63*I63,0)</f>
        <v>0</v>
      </c>
      <c r="K63" s="342">
        <f t="shared" ref="K63:K72" ca="1" si="18">IF(D63&lt;&gt;"",K62+G63-I63,0)</f>
        <v>0</v>
      </c>
      <c r="L63" s="342">
        <f t="shared" ref="L63:L72" ca="1" si="19">IF(D63&lt;&gt;"",L62+H63-J63,0)</f>
        <v>0</v>
      </c>
      <c r="M63" s="342"/>
      <c r="N63" s="332"/>
    </row>
    <row r="64" spans="1:14">
      <c r="A64" s="303" t="str">
        <f t="shared" ca="1" si="15"/>
        <v/>
      </c>
      <c r="B64" s="338" t="str">
        <f ca="1">IF(ROWS($1:51)&gt;COUNT(Dong11),"",OFFSET(TH!D$1,SMALL(Dong11,ROWS($1:51)),))</f>
        <v/>
      </c>
      <c r="C64" s="339" t="str">
        <f ca="1">IF(ROWS($1:51)&gt;COUNT(Dong11),"",OFFSET(TH!E$1,SMALL(Dong11,ROWS($1:51)),))</f>
        <v/>
      </c>
      <c r="D64" s="340" t="str">
        <f ca="1">IF(ROWS($1:51)&gt;COUNT(Dong11),"",OFFSET(TH!H$1,SMALL(Dong11,ROWS($1:51)),))</f>
        <v/>
      </c>
      <c r="E64" s="338" t="str">
        <f ca="1">IF(ROWS($1:51)&gt;COUNT(Dong11),"",IF(OFFSET(TH!L$1,SMALL(Dong11,ROWS($1:51)),)=$G$7,OFFSET(TH!M$1,SMALL(Dong11,ROWS($1:51)),),OFFSET(TH!L$1,SMALL(Dong11,ROWS($1:51)),)))</f>
        <v/>
      </c>
      <c r="F64" s="341">
        <f ca="1">IF(ROWS($1:51)&gt;COUNT(Dong11),0,OFFSET(TH!J$1,SMALL(Dong11,ROWS($1:51)),))</f>
        <v>0</v>
      </c>
      <c r="G64" s="341">
        <f ca="1">IF(ROWS($1:51)&gt;COUNT(Dong11),0,IF(MID(OFFSET(TH!D$1,SMALL(Dong11,ROWS($1:51)),),4,1)="N",OFFSET(TH!I$1,SMALL(Dong11,ROWS($1:51)),),0))</f>
        <v>0</v>
      </c>
      <c r="H64" s="342">
        <f t="shared" ca="1" si="16"/>
        <v>0</v>
      </c>
      <c r="I64" s="341">
        <f ca="1">IF(ROWS($1:51)&gt;COUNT(Dong11),0,IF(MID(OFFSET(TH!D$1,SMALL(Dong11,ROWS($1:51)),),4,1)="X",OFFSET(TH!I$1,SMALL(Dong11,ROWS($1:51)),),0))</f>
        <v>0</v>
      </c>
      <c r="J64" s="342">
        <f t="shared" ca="1" si="17"/>
        <v>0</v>
      </c>
      <c r="K64" s="342">
        <f t="shared" ca="1" si="18"/>
        <v>0</v>
      </c>
      <c r="L64" s="342">
        <f t="shared" ca="1" si="19"/>
        <v>0</v>
      </c>
      <c r="M64" s="342"/>
      <c r="N64" s="332"/>
    </row>
    <row r="65" spans="1:14">
      <c r="A65" s="303" t="str">
        <f t="shared" ca="1" si="15"/>
        <v/>
      </c>
      <c r="B65" s="338" t="str">
        <f ca="1">IF(ROWS($1:52)&gt;COUNT(Dong11),"",OFFSET(TH!D$1,SMALL(Dong11,ROWS($1:52)),))</f>
        <v/>
      </c>
      <c r="C65" s="339" t="str">
        <f ca="1">IF(ROWS($1:52)&gt;COUNT(Dong11),"",OFFSET(TH!E$1,SMALL(Dong11,ROWS($1:52)),))</f>
        <v/>
      </c>
      <c r="D65" s="340" t="str">
        <f ca="1">IF(ROWS($1:52)&gt;COUNT(Dong11),"",OFFSET(TH!H$1,SMALL(Dong11,ROWS($1:52)),))</f>
        <v/>
      </c>
      <c r="E65" s="338" t="str">
        <f ca="1">IF(ROWS($1:52)&gt;COUNT(Dong11),"",IF(OFFSET(TH!L$1,SMALL(Dong11,ROWS($1:52)),)=$G$7,OFFSET(TH!M$1,SMALL(Dong11,ROWS($1:52)),),OFFSET(TH!L$1,SMALL(Dong11,ROWS($1:52)),)))</f>
        <v/>
      </c>
      <c r="F65" s="341">
        <f ca="1">IF(ROWS($1:52)&gt;COUNT(Dong11),0,OFFSET(TH!J$1,SMALL(Dong11,ROWS($1:52)),))</f>
        <v>0</v>
      </c>
      <c r="G65" s="341">
        <f ca="1">IF(ROWS($1:52)&gt;COUNT(Dong11),0,IF(MID(OFFSET(TH!D$1,SMALL(Dong11,ROWS($1:52)),),4,1)="N",OFFSET(TH!I$1,SMALL(Dong11,ROWS($1:52)),),0))</f>
        <v>0</v>
      </c>
      <c r="H65" s="342">
        <f t="shared" ca="1" si="16"/>
        <v>0</v>
      </c>
      <c r="I65" s="341">
        <f ca="1">IF(ROWS($1:52)&gt;COUNT(Dong11),0,IF(MID(OFFSET(TH!D$1,SMALL(Dong11,ROWS($1:52)),),4,1)="X",OFFSET(TH!I$1,SMALL(Dong11,ROWS($1:52)),),0))</f>
        <v>0</v>
      </c>
      <c r="J65" s="342">
        <f t="shared" ca="1" si="17"/>
        <v>0</v>
      </c>
      <c r="K65" s="342">
        <f t="shared" ca="1" si="18"/>
        <v>0</v>
      </c>
      <c r="L65" s="342">
        <f t="shared" ca="1" si="19"/>
        <v>0</v>
      </c>
      <c r="M65" s="342"/>
      <c r="N65" s="332"/>
    </row>
    <row r="66" spans="1:14">
      <c r="A66" s="303" t="str">
        <f t="shared" ca="1" si="15"/>
        <v/>
      </c>
      <c r="B66" s="338" t="str">
        <f ca="1">IF(ROWS($1:53)&gt;COUNT(Dong11),"",OFFSET(TH!D$1,SMALL(Dong11,ROWS($1:53)),))</f>
        <v/>
      </c>
      <c r="C66" s="339" t="str">
        <f ca="1">IF(ROWS($1:53)&gt;COUNT(Dong11),"",OFFSET(TH!E$1,SMALL(Dong11,ROWS($1:53)),))</f>
        <v/>
      </c>
      <c r="D66" s="340" t="str">
        <f ca="1">IF(ROWS($1:53)&gt;COUNT(Dong11),"",OFFSET(TH!H$1,SMALL(Dong11,ROWS($1:53)),))</f>
        <v/>
      </c>
      <c r="E66" s="338" t="str">
        <f ca="1">IF(ROWS($1:53)&gt;COUNT(Dong11),"",IF(OFFSET(TH!L$1,SMALL(Dong11,ROWS($1:53)),)=$G$7,OFFSET(TH!M$1,SMALL(Dong11,ROWS($1:53)),),OFFSET(TH!L$1,SMALL(Dong11,ROWS($1:53)),)))</f>
        <v/>
      </c>
      <c r="F66" s="341">
        <f ca="1">IF(ROWS($1:53)&gt;COUNT(Dong11),0,OFFSET(TH!J$1,SMALL(Dong11,ROWS($1:53)),))</f>
        <v>0</v>
      </c>
      <c r="G66" s="341">
        <f ca="1">IF(ROWS($1:53)&gt;COUNT(Dong11),0,IF(MID(OFFSET(TH!D$1,SMALL(Dong11,ROWS($1:53)),),4,1)="N",OFFSET(TH!I$1,SMALL(Dong11,ROWS($1:53)),),0))</f>
        <v>0</v>
      </c>
      <c r="H66" s="342">
        <f t="shared" ca="1" si="16"/>
        <v>0</v>
      </c>
      <c r="I66" s="341">
        <f ca="1">IF(ROWS($1:53)&gt;COUNT(Dong11),0,IF(MID(OFFSET(TH!D$1,SMALL(Dong11,ROWS($1:53)),),4,1)="X",OFFSET(TH!I$1,SMALL(Dong11,ROWS($1:53)),),0))</f>
        <v>0</v>
      </c>
      <c r="J66" s="342">
        <f t="shared" ca="1" si="17"/>
        <v>0</v>
      </c>
      <c r="K66" s="342">
        <f t="shared" ca="1" si="18"/>
        <v>0</v>
      </c>
      <c r="L66" s="342">
        <f t="shared" ca="1" si="19"/>
        <v>0</v>
      </c>
      <c r="M66" s="342"/>
      <c r="N66" s="332"/>
    </row>
    <row r="67" spans="1:14">
      <c r="A67" s="303" t="str">
        <f t="shared" ca="1" si="15"/>
        <v/>
      </c>
      <c r="B67" s="338" t="str">
        <f ca="1">IF(ROWS($1:54)&gt;COUNT(Dong11),"",OFFSET(TH!D$1,SMALL(Dong11,ROWS($1:54)),))</f>
        <v/>
      </c>
      <c r="C67" s="339" t="str">
        <f ca="1">IF(ROWS($1:54)&gt;COUNT(Dong11),"",OFFSET(TH!E$1,SMALL(Dong11,ROWS($1:54)),))</f>
        <v/>
      </c>
      <c r="D67" s="340" t="str">
        <f ca="1">IF(ROWS($1:54)&gt;COUNT(Dong11),"",OFFSET(TH!H$1,SMALL(Dong11,ROWS($1:54)),))</f>
        <v/>
      </c>
      <c r="E67" s="338" t="str">
        <f ca="1">IF(ROWS($1:54)&gt;COUNT(Dong11),"",IF(OFFSET(TH!L$1,SMALL(Dong11,ROWS($1:54)),)=$G$7,OFFSET(TH!M$1,SMALL(Dong11,ROWS($1:54)),),OFFSET(TH!L$1,SMALL(Dong11,ROWS($1:54)),)))</f>
        <v/>
      </c>
      <c r="F67" s="341">
        <f ca="1">IF(ROWS($1:54)&gt;COUNT(Dong11),0,OFFSET(TH!J$1,SMALL(Dong11,ROWS($1:54)),))</f>
        <v>0</v>
      </c>
      <c r="G67" s="341">
        <f ca="1">IF(ROWS($1:54)&gt;COUNT(Dong11),0,IF(MID(OFFSET(TH!D$1,SMALL(Dong11,ROWS($1:54)),),4,1)="N",OFFSET(TH!I$1,SMALL(Dong11,ROWS($1:54)),),0))</f>
        <v>0</v>
      </c>
      <c r="H67" s="342">
        <f t="shared" ca="1" si="16"/>
        <v>0</v>
      </c>
      <c r="I67" s="341">
        <f ca="1">IF(ROWS($1:54)&gt;COUNT(Dong11),0,IF(MID(OFFSET(TH!D$1,SMALL(Dong11,ROWS($1:54)),),4,1)="X",OFFSET(TH!I$1,SMALL(Dong11,ROWS($1:54)),),0))</f>
        <v>0</v>
      </c>
      <c r="J67" s="342">
        <f t="shared" ca="1" si="17"/>
        <v>0</v>
      </c>
      <c r="K67" s="342">
        <f t="shared" ca="1" si="18"/>
        <v>0</v>
      </c>
      <c r="L67" s="342">
        <f t="shared" ca="1" si="19"/>
        <v>0</v>
      </c>
      <c r="M67" s="342"/>
      <c r="N67" s="332"/>
    </row>
    <row r="68" spans="1:14">
      <c r="A68" s="303" t="str">
        <f t="shared" ca="1" si="15"/>
        <v/>
      </c>
      <c r="B68" s="338" t="str">
        <f ca="1">IF(ROWS($1:55)&gt;COUNT(Dong11),"",OFFSET(TH!D$1,SMALL(Dong11,ROWS($1:55)),))</f>
        <v/>
      </c>
      <c r="C68" s="339" t="str">
        <f ca="1">IF(ROWS($1:55)&gt;COUNT(Dong11),"",OFFSET(TH!E$1,SMALL(Dong11,ROWS($1:55)),))</f>
        <v/>
      </c>
      <c r="D68" s="340" t="str">
        <f ca="1">IF(ROWS($1:55)&gt;COUNT(Dong11),"",OFFSET(TH!H$1,SMALL(Dong11,ROWS($1:55)),))</f>
        <v/>
      </c>
      <c r="E68" s="338" t="str">
        <f ca="1">IF(ROWS($1:55)&gt;COUNT(Dong11),"",IF(OFFSET(TH!L$1,SMALL(Dong11,ROWS($1:55)),)=$G$7,OFFSET(TH!M$1,SMALL(Dong11,ROWS($1:55)),),OFFSET(TH!L$1,SMALL(Dong11,ROWS($1:55)),)))</f>
        <v/>
      </c>
      <c r="F68" s="341">
        <f ca="1">IF(ROWS($1:55)&gt;COUNT(Dong11),0,OFFSET(TH!J$1,SMALL(Dong11,ROWS($1:55)),))</f>
        <v>0</v>
      </c>
      <c r="G68" s="341">
        <f ca="1">IF(ROWS($1:55)&gt;COUNT(Dong11),0,IF(MID(OFFSET(TH!D$1,SMALL(Dong11,ROWS($1:55)),),4,1)="N",OFFSET(TH!I$1,SMALL(Dong11,ROWS($1:55)),),0))</f>
        <v>0</v>
      </c>
      <c r="H68" s="342">
        <f t="shared" ca="1" si="16"/>
        <v>0</v>
      </c>
      <c r="I68" s="341">
        <f ca="1">IF(ROWS($1:55)&gt;COUNT(Dong11),0,IF(MID(OFFSET(TH!D$1,SMALL(Dong11,ROWS($1:55)),),4,1)="X",OFFSET(TH!I$1,SMALL(Dong11,ROWS($1:55)),),0))</f>
        <v>0</v>
      </c>
      <c r="J68" s="342">
        <f t="shared" ca="1" si="17"/>
        <v>0</v>
      </c>
      <c r="K68" s="342">
        <f t="shared" ca="1" si="18"/>
        <v>0</v>
      </c>
      <c r="L68" s="342">
        <f t="shared" ca="1" si="19"/>
        <v>0</v>
      </c>
      <c r="M68" s="342"/>
      <c r="N68" s="332"/>
    </row>
    <row r="69" spans="1:14">
      <c r="A69" s="303" t="str">
        <f t="shared" ca="1" si="15"/>
        <v/>
      </c>
      <c r="B69" s="338" t="str">
        <f ca="1">IF(ROWS($1:56)&gt;COUNT(Dong11),"",OFFSET(TH!D$1,SMALL(Dong11,ROWS($1:56)),))</f>
        <v/>
      </c>
      <c r="C69" s="339" t="str">
        <f ca="1">IF(ROWS($1:56)&gt;COUNT(Dong11),"",OFFSET(TH!E$1,SMALL(Dong11,ROWS($1:56)),))</f>
        <v/>
      </c>
      <c r="D69" s="340" t="str">
        <f ca="1">IF(ROWS($1:56)&gt;COUNT(Dong11),"",OFFSET(TH!H$1,SMALL(Dong11,ROWS($1:56)),))</f>
        <v/>
      </c>
      <c r="E69" s="338" t="str">
        <f ca="1">IF(ROWS($1:56)&gt;COUNT(Dong11),"",IF(OFFSET(TH!L$1,SMALL(Dong11,ROWS($1:56)),)=$G$7,OFFSET(TH!M$1,SMALL(Dong11,ROWS($1:56)),),OFFSET(TH!L$1,SMALL(Dong11,ROWS($1:56)),)))</f>
        <v/>
      </c>
      <c r="F69" s="341">
        <f ca="1">IF(ROWS($1:56)&gt;COUNT(Dong11),0,OFFSET(TH!J$1,SMALL(Dong11,ROWS($1:56)),))</f>
        <v>0</v>
      </c>
      <c r="G69" s="341">
        <f ca="1">IF(ROWS($1:56)&gt;COUNT(Dong11),0,IF(MID(OFFSET(TH!D$1,SMALL(Dong11,ROWS($1:56)),),4,1)="N",OFFSET(TH!I$1,SMALL(Dong11,ROWS($1:56)),),0))</f>
        <v>0</v>
      </c>
      <c r="H69" s="342">
        <f t="shared" ca="1" si="16"/>
        <v>0</v>
      </c>
      <c r="I69" s="341">
        <f ca="1">IF(ROWS($1:56)&gt;COUNT(Dong11),0,IF(MID(OFFSET(TH!D$1,SMALL(Dong11,ROWS($1:56)),),4,1)="X",OFFSET(TH!I$1,SMALL(Dong11,ROWS($1:56)),),0))</f>
        <v>0</v>
      </c>
      <c r="J69" s="342">
        <f t="shared" ca="1" si="17"/>
        <v>0</v>
      </c>
      <c r="K69" s="342">
        <f t="shared" ca="1" si="18"/>
        <v>0</v>
      </c>
      <c r="L69" s="342">
        <f t="shared" ca="1" si="19"/>
        <v>0</v>
      </c>
      <c r="M69" s="342"/>
      <c r="N69" s="332"/>
    </row>
    <row r="70" spans="1:14">
      <c r="A70" s="303" t="str">
        <f t="shared" ca="1" si="15"/>
        <v/>
      </c>
      <c r="B70" s="338" t="str">
        <f ca="1">IF(ROWS($1:57)&gt;COUNT(Dong11),"",OFFSET(TH!D$1,SMALL(Dong11,ROWS($1:57)),))</f>
        <v/>
      </c>
      <c r="C70" s="339" t="str">
        <f ca="1">IF(ROWS($1:57)&gt;COUNT(Dong11),"",OFFSET(TH!E$1,SMALL(Dong11,ROWS($1:57)),))</f>
        <v/>
      </c>
      <c r="D70" s="340" t="str">
        <f ca="1">IF(ROWS($1:57)&gt;COUNT(Dong11),"",OFFSET(TH!H$1,SMALL(Dong11,ROWS($1:57)),))</f>
        <v/>
      </c>
      <c r="E70" s="338" t="str">
        <f ca="1">IF(ROWS($1:57)&gt;COUNT(Dong11),"",IF(OFFSET(TH!L$1,SMALL(Dong11,ROWS($1:57)),)=$G$7,OFFSET(TH!M$1,SMALL(Dong11,ROWS($1:57)),),OFFSET(TH!L$1,SMALL(Dong11,ROWS($1:57)),)))</f>
        <v/>
      </c>
      <c r="F70" s="341">
        <f ca="1">IF(ROWS($1:57)&gt;COUNT(Dong11),0,OFFSET(TH!J$1,SMALL(Dong11,ROWS($1:57)),))</f>
        <v>0</v>
      </c>
      <c r="G70" s="341">
        <f ca="1">IF(ROWS($1:57)&gt;COUNT(Dong11),0,IF(MID(OFFSET(TH!D$1,SMALL(Dong11,ROWS($1:57)),),4,1)="N",OFFSET(TH!I$1,SMALL(Dong11,ROWS($1:57)),),0))</f>
        <v>0</v>
      </c>
      <c r="H70" s="342">
        <f t="shared" ca="1" si="16"/>
        <v>0</v>
      </c>
      <c r="I70" s="341">
        <f ca="1">IF(ROWS($1:57)&gt;COUNT(Dong11),0,IF(MID(OFFSET(TH!D$1,SMALL(Dong11,ROWS($1:57)),),4,1)="X",OFFSET(TH!I$1,SMALL(Dong11,ROWS($1:57)),),0))</f>
        <v>0</v>
      </c>
      <c r="J70" s="342">
        <f t="shared" ca="1" si="17"/>
        <v>0</v>
      </c>
      <c r="K70" s="342">
        <f t="shared" ca="1" si="18"/>
        <v>0</v>
      </c>
      <c r="L70" s="342">
        <f t="shared" ca="1" si="19"/>
        <v>0</v>
      </c>
      <c r="M70" s="342"/>
      <c r="N70" s="332"/>
    </row>
    <row r="71" spans="1:14">
      <c r="A71" s="303" t="str">
        <f t="shared" ca="1" si="15"/>
        <v/>
      </c>
      <c r="B71" s="338" t="str">
        <f ca="1">IF(ROWS($1:58)&gt;COUNT(Dong11),"",OFFSET(TH!D$1,SMALL(Dong11,ROWS($1:58)),))</f>
        <v/>
      </c>
      <c r="C71" s="339" t="str">
        <f ca="1">IF(ROWS($1:58)&gt;COUNT(Dong11),"",OFFSET(TH!E$1,SMALL(Dong11,ROWS($1:58)),))</f>
        <v/>
      </c>
      <c r="D71" s="340" t="str">
        <f ca="1">IF(ROWS($1:58)&gt;COUNT(Dong11),"",OFFSET(TH!H$1,SMALL(Dong11,ROWS($1:58)),))</f>
        <v/>
      </c>
      <c r="E71" s="338" t="str">
        <f ca="1">IF(ROWS($1:58)&gt;COUNT(Dong11),"",IF(OFFSET(TH!L$1,SMALL(Dong11,ROWS($1:58)),)=$G$7,OFFSET(TH!M$1,SMALL(Dong11,ROWS($1:58)),),OFFSET(TH!L$1,SMALL(Dong11,ROWS($1:58)),)))</f>
        <v/>
      </c>
      <c r="F71" s="341">
        <f ca="1">IF(ROWS($1:58)&gt;COUNT(Dong11),0,OFFSET(TH!J$1,SMALL(Dong11,ROWS($1:58)),))</f>
        <v>0</v>
      </c>
      <c r="G71" s="341">
        <f ca="1">IF(ROWS($1:58)&gt;COUNT(Dong11),0,IF(MID(OFFSET(TH!D$1,SMALL(Dong11,ROWS($1:58)),),4,1)="N",OFFSET(TH!I$1,SMALL(Dong11,ROWS($1:58)),),0))</f>
        <v>0</v>
      </c>
      <c r="H71" s="342">
        <f t="shared" ca="1" si="16"/>
        <v>0</v>
      </c>
      <c r="I71" s="341">
        <f ca="1">IF(ROWS($1:58)&gt;COUNT(Dong11),0,IF(MID(OFFSET(TH!D$1,SMALL(Dong11,ROWS($1:58)),),4,1)="X",OFFSET(TH!I$1,SMALL(Dong11,ROWS($1:58)),),0))</f>
        <v>0</v>
      </c>
      <c r="J71" s="342">
        <f t="shared" ca="1" si="17"/>
        <v>0</v>
      </c>
      <c r="K71" s="342">
        <f t="shared" ca="1" si="18"/>
        <v>0</v>
      </c>
      <c r="L71" s="342">
        <f t="shared" ca="1" si="19"/>
        <v>0</v>
      </c>
      <c r="M71" s="342"/>
      <c r="N71" s="332"/>
    </row>
    <row r="72" spans="1:14">
      <c r="A72" s="303" t="str">
        <f t="shared" ca="1" si="15"/>
        <v/>
      </c>
      <c r="B72" s="338" t="str">
        <f ca="1">IF(ROWS($1:59)&gt;COUNT(Dong11),"",OFFSET(TH!D$1,SMALL(Dong11,ROWS($1:59)),))</f>
        <v/>
      </c>
      <c r="C72" s="339" t="str">
        <f ca="1">IF(ROWS($1:59)&gt;COUNT(Dong11),"",OFFSET(TH!E$1,SMALL(Dong11,ROWS($1:59)),))</f>
        <v/>
      </c>
      <c r="D72" s="340" t="str">
        <f ca="1">IF(ROWS($1:59)&gt;COUNT(Dong11),"",OFFSET(TH!H$1,SMALL(Dong11,ROWS($1:59)),))</f>
        <v/>
      </c>
      <c r="E72" s="338" t="str">
        <f ca="1">IF(ROWS($1:59)&gt;COUNT(Dong11),"",IF(OFFSET(TH!L$1,SMALL(Dong11,ROWS($1:59)),)=$G$7,OFFSET(TH!M$1,SMALL(Dong11,ROWS($1:59)),),OFFSET(TH!L$1,SMALL(Dong11,ROWS($1:59)),)))</f>
        <v/>
      </c>
      <c r="F72" s="341">
        <f ca="1">IF(ROWS($1:59)&gt;COUNT(Dong11),0,OFFSET(TH!J$1,SMALL(Dong11,ROWS($1:59)),))</f>
        <v>0</v>
      </c>
      <c r="G72" s="341">
        <f ca="1">IF(ROWS($1:59)&gt;COUNT(Dong11),0,IF(MID(OFFSET(TH!D$1,SMALL(Dong11,ROWS($1:59)),),4,1)="N",OFFSET(TH!I$1,SMALL(Dong11,ROWS($1:59)),),0))</f>
        <v>0</v>
      </c>
      <c r="H72" s="342">
        <f t="shared" ca="1" si="16"/>
        <v>0</v>
      </c>
      <c r="I72" s="341">
        <f ca="1">IF(ROWS($1:59)&gt;COUNT(Dong11),0,IF(MID(OFFSET(TH!D$1,SMALL(Dong11,ROWS($1:59)),),4,1)="X",OFFSET(TH!I$1,SMALL(Dong11,ROWS($1:59)),),0))</f>
        <v>0</v>
      </c>
      <c r="J72" s="342">
        <f t="shared" ca="1" si="17"/>
        <v>0</v>
      </c>
      <c r="K72" s="342">
        <f t="shared" ca="1" si="18"/>
        <v>0</v>
      </c>
      <c r="L72" s="342">
        <f t="shared" ca="1" si="19"/>
        <v>0</v>
      </c>
      <c r="M72" s="342"/>
      <c r="N72" s="332"/>
    </row>
    <row r="73" spans="1:14">
      <c r="A73" s="303" t="str">
        <f>IF(B73="","",#REF!+1)</f>
        <v/>
      </c>
      <c r="B73" s="345"/>
      <c r="C73" s="346"/>
      <c r="D73" s="340"/>
      <c r="E73" s="347"/>
      <c r="F73" s="348"/>
      <c r="G73" s="334"/>
      <c r="H73" s="334"/>
      <c r="I73" s="334"/>
      <c r="J73" s="334"/>
      <c r="K73" s="334"/>
      <c r="L73" s="334"/>
      <c r="M73" s="349"/>
      <c r="N73" s="332"/>
    </row>
    <row r="74" spans="1:14">
      <c r="A74" s="350"/>
      <c r="B74" s="350"/>
      <c r="C74" s="350"/>
      <c r="D74" s="350" t="s">
        <v>226</v>
      </c>
      <c r="E74" s="330" t="s">
        <v>19</v>
      </c>
      <c r="F74" s="330" t="s">
        <v>19</v>
      </c>
      <c r="G74" s="351">
        <f ca="1">SUM(G14:G73)</f>
        <v>0</v>
      </c>
      <c r="H74" s="351">
        <f ca="1">SUM(H14:H73)</f>
        <v>0</v>
      </c>
      <c r="I74" s="351">
        <f ca="1">SUM(I14:I73)</f>
        <v>0</v>
      </c>
      <c r="J74" s="351">
        <f ca="1">SUM(J14:J73)</f>
        <v>0</v>
      </c>
      <c r="K74" s="351">
        <f ca="1">K13+G74-I74</f>
        <v>0</v>
      </c>
      <c r="L74" s="351">
        <f ca="1">L13+H74-J74</f>
        <v>0</v>
      </c>
      <c r="M74" s="350"/>
      <c r="N74" s="332"/>
    </row>
    <row r="75" spans="1:14">
      <c r="B75" s="352" t="s">
        <v>227</v>
      </c>
      <c r="G75" s="344"/>
      <c r="N75" s="332"/>
    </row>
    <row r="76" spans="1:14">
      <c r="B76" s="35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 tháng 12 năm 2012</v>
      </c>
      <c r="G76" s="344"/>
      <c r="I76" s="344"/>
      <c r="N76" s="332"/>
    </row>
    <row r="77" spans="1:14">
      <c r="B77" s="319"/>
      <c r="C77" s="319"/>
      <c r="D77" s="319"/>
      <c r="F77" s="319"/>
      <c r="G77" s="354"/>
      <c r="H77" s="320"/>
      <c r="I77" s="355"/>
      <c r="J77" s="985" t="str">
        <f ca="1">"Ngày 31 tháng  12  năm  "&amp;YEAR($A$14)</f>
        <v>Ngày 31 tháng  12  năm  1900</v>
      </c>
      <c r="K77" s="985"/>
      <c r="L77" s="985"/>
      <c r="M77" s="985"/>
      <c r="N77" s="332"/>
    </row>
    <row r="78" spans="1:14">
      <c r="C78" s="319"/>
      <c r="D78" s="546" t="s">
        <v>11</v>
      </c>
      <c r="E78" s="985" t="s">
        <v>12</v>
      </c>
      <c r="F78" s="985"/>
      <c r="G78" s="985"/>
      <c r="H78" s="985"/>
      <c r="I78" s="985"/>
      <c r="J78" s="985" t="s">
        <v>109</v>
      </c>
      <c r="K78" s="985"/>
      <c r="L78" s="985"/>
      <c r="M78" s="985"/>
      <c r="N78" s="332"/>
    </row>
    <row r="79" spans="1:14">
      <c r="C79" s="319"/>
      <c r="D79" s="546" t="s">
        <v>13</v>
      </c>
      <c r="E79" s="985" t="s">
        <v>13</v>
      </c>
      <c r="F79" s="985"/>
      <c r="G79" s="985"/>
      <c r="H79" s="985" t="s">
        <v>136</v>
      </c>
      <c r="I79" s="985"/>
      <c r="J79" s="985" t="s">
        <v>136</v>
      </c>
      <c r="K79" s="985"/>
      <c r="L79" s="985"/>
      <c r="M79" s="985"/>
      <c r="N79" s="332"/>
    </row>
    <row r="80" spans="1:14">
      <c r="N80" s="356"/>
    </row>
    <row r="81" spans="4:14">
      <c r="E81" s="307"/>
    </row>
    <row r="83" spans="4:14" customFormat="1" ht="12.75">
      <c r="E83" s="357"/>
    </row>
    <row r="88" spans="4:14">
      <c r="D88" s="574" t="s">
        <v>151</v>
      </c>
      <c r="E88" s="574"/>
      <c r="J88" s="981" t="s">
        <v>103</v>
      </c>
      <c r="K88" s="981"/>
      <c r="L88" s="981"/>
      <c r="M88" s="981"/>
      <c r="N88" s="575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61" customWidth="1"/>
    <col min="2" max="2" width="9.140625" style="361"/>
    <col min="3" max="3" width="9.140625" style="420" customWidth="1"/>
    <col min="4" max="4" width="10.85546875" style="420" customWidth="1"/>
    <col min="5" max="5" width="39.42578125" style="421" customWidth="1"/>
    <col min="6" max="6" width="10.85546875" style="422" customWidth="1"/>
    <col min="7" max="7" width="9" style="423" customWidth="1"/>
    <col min="8" max="8" width="9.5703125" style="423" customWidth="1"/>
    <col min="9" max="9" width="10" style="423" customWidth="1"/>
    <col min="10" max="10" width="8" style="361" customWidth="1"/>
    <col min="11" max="11" width="2.42578125" style="361" customWidth="1"/>
    <col min="12" max="12" width="6.5703125" style="361" customWidth="1"/>
    <col min="13" max="16384" width="9.140625" style="361"/>
  </cols>
  <sheetData>
    <row r="1" spans="1:12" ht="15" customHeight="1">
      <c r="A1" s="358" t="str">
        <f>TH!A1</f>
        <v>Đơn vị: CÔNG TY TNHH MỘT THÀNH VIÊN KHỞI NGUYÊN AN</v>
      </c>
      <c r="B1" s="359"/>
      <c r="C1" s="359"/>
      <c r="D1" s="359"/>
      <c r="E1" s="360"/>
      <c r="F1" s="994" t="s">
        <v>228</v>
      </c>
      <c r="G1" s="994"/>
      <c r="H1" s="994"/>
      <c r="I1" s="994"/>
      <c r="J1" s="994"/>
      <c r="K1" s="362"/>
      <c r="L1" s="363"/>
    </row>
    <row r="2" spans="1:12" ht="15" customHeight="1">
      <c r="A2" s="606" t="str">
        <f>TH!A2</f>
        <v>Địa chỉ: Thửa đất số 144, tờ bản đồ số 12TĐH.1, tổ 1, khu phố Đông Tác, Phường Tân Đông Hiệp, Thị Xã Dĩ An, Tỉnh Bình Dương, Việt Nam</v>
      </c>
      <c r="B2" s="364"/>
      <c r="C2" s="364"/>
      <c r="D2" s="364"/>
      <c r="E2" s="365"/>
      <c r="F2" s="993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93"/>
      <c r="H2" s="993"/>
      <c r="I2" s="993"/>
      <c r="J2" s="993"/>
      <c r="K2" s="362"/>
    </row>
    <row r="3" spans="1:12" ht="15">
      <c r="A3" s="364"/>
      <c r="B3" s="364"/>
      <c r="C3" s="364"/>
      <c r="D3" s="364"/>
      <c r="E3" s="365"/>
      <c r="F3" s="993"/>
      <c r="G3" s="993"/>
      <c r="H3" s="993"/>
      <c r="I3" s="993"/>
      <c r="J3" s="993"/>
      <c r="K3" s="362"/>
    </row>
    <row r="4" spans="1:12" ht="18.75" customHeight="1">
      <c r="A4" s="367"/>
      <c r="B4" s="367"/>
      <c r="C4" s="367"/>
      <c r="D4" s="367"/>
      <c r="E4" s="368" t="s">
        <v>229</v>
      </c>
      <c r="F4" s="367"/>
      <c r="G4" s="367"/>
      <c r="H4" s="367"/>
      <c r="I4" s="367"/>
      <c r="J4" s="362"/>
      <c r="K4" s="362"/>
    </row>
    <row r="5" spans="1:12" ht="15">
      <c r="A5" s="369"/>
      <c r="B5" s="369"/>
      <c r="C5" s="369"/>
      <c r="D5" s="369"/>
      <c r="E5" s="370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27/10/2012</v>
      </c>
      <c r="F5" s="369"/>
      <c r="G5" s="369"/>
      <c r="H5" s="369"/>
      <c r="I5" s="369"/>
      <c r="J5" s="362"/>
      <c r="K5" s="362"/>
    </row>
    <row r="6" spans="1:12" ht="15">
      <c r="A6" s="369"/>
      <c r="B6" s="369"/>
      <c r="C6" s="369"/>
      <c r="D6" s="369"/>
      <c r="E6" s="370" t="s">
        <v>230</v>
      </c>
      <c r="F6" s="369"/>
      <c r="G6" s="369"/>
      <c r="H6" s="369"/>
      <c r="I6" s="369"/>
      <c r="J6" s="362"/>
      <c r="K6" s="362"/>
    </row>
    <row r="7" spans="1:12" ht="15">
      <c r="A7" s="353" t="s">
        <v>231</v>
      </c>
      <c r="B7" s="353"/>
      <c r="C7" s="371"/>
      <c r="D7" s="371"/>
      <c r="E7" s="372" t="s">
        <v>657</v>
      </c>
      <c r="F7" s="366"/>
      <c r="G7" s="373"/>
      <c r="H7" s="373"/>
      <c r="I7" s="373"/>
      <c r="J7" s="362"/>
      <c r="K7" s="362"/>
    </row>
    <row r="8" spans="1:12" ht="15">
      <c r="A8" s="353" t="s">
        <v>232</v>
      </c>
      <c r="B8" s="353"/>
      <c r="C8" s="362" t="str">
        <f>VLOOKUP($E$7,NXT!$C$12:$L$103,2,0)</f>
        <v>tấm</v>
      </c>
      <c r="D8" s="353"/>
      <c r="E8" s="372"/>
      <c r="F8" s="366"/>
      <c r="G8" s="373"/>
      <c r="H8" s="373"/>
      <c r="I8" s="373"/>
      <c r="J8" s="362"/>
      <c r="K8" s="362"/>
    </row>
    <row r="9" spans="1:12" ht="15">
      <c r="A9" s="995" t="s">
        <v>233</v>
      </c>
      <c r="B9" s="996"/>
      <c r="C9" s="996"/>
      <c r="D9" s="996"/>
      <c r="E9" s="372"/>
      <c r="F9" s="366"/>
      <c r="G9" s="373"/>
      <c r="H9" s="373"/>
      <c r="I9" s="373"/>
      <c r="J9" s="374"/>
      <c r="K9" s="374"/>
    </row>
    <row r="10" spans="1:12" ht="19.5" customHeight="1">
      <c r="A10" s="997" t="s">
        <v>234</v>
      </c>
      <c r="B10" s="998" t="s">
        <v>235</v>
      </c>
      <c r="C10" s="1000" t="s">
        <v>15</v>
      </c>
      <c r="D10" s="1001"/>
      <c r="E10" s="1002" t="s">
        <v>0</v>
      </c>
      <c r="F10" s="1011" t="s">
        <v>236</v>
      </c>
      <c r="G10" s="1005" t="s">
        <v>206</v>
      </c>
      <c r="H10" s="1005"/>
      <c r="I10" s="1001"/>
      <c r="J10" s="1006" t="s">
        <v>237</v>
      </c>
      <c r="K10" s="375"/>
      <c r="L10" s="376" t="s">
        <v>213</v>
      </c>
    </row>
    <row r="11" spans="1:12" ht="19.5" customHeight="1">
      <c r="A11" s="997"/>
      <c r="B11" s="999"/>
      <c r="C11" s="377" t="s">
        <v>220</v>
      </c>
      <c r="D11" s="377" t="s">
        <v>221</v>
      </c>
      <c r="E11" s="1003"/>
      <c r="F11" s="1012"/>
      <c r="G11" s="378" t="s">
        <v>220</v>
      </c>
      <c r="H11" s="378" t="s">
        <v>221</v>
      </c>
      <c r="I11" s="378" t="s">
        <v>222</v>
      </c>
      <c r="J11" s="1007"/>
      <c r="K11" s="375"/>
    </row>
    <row r="12" spans="1:12" ht="15">
      <c r="A12" s="379" t="s">
        <v>2</v>
      </c>
      <c r="B12" s="380" t="s">
        <v>3</v>
      </c>
      <c r="C12" s="381" t="s">
        <v>4</v>
      </c>
      <c r="D12" s="381" t="s">
        <v>5</v>
      </c>
      <c r="E12" s="382" t="s">
        <v>6</v>
      </c>
      <c r="F12" s="380" t="s">
        <v>130</v>
      </c>
      <c r="G12" s="383">
        <v>1</v>
      </c>
      <c r="H12" s="383">
        <v>2</v>
      </c>
      <c r="I12" s="383">
        <v>3</v>
      </c>
      <c r="J12" s="381" t="s">
        <v>131</v>
      </c>
      <c r="K12" s="384"/>
    </row>
    <row r="13" spans="1:12" ht="16.5" customHeight="1">
      <c r="A13" s="385"/>
      <c r="B13" s="386"/>
      <c r="C13" s="387"/>
      <c r="D13" s="387"/>
      <c r="E13" s="388" t="s">
        <v>198</v>
      </c>
      <c r="F13" s="386"/>
      <c r="G13" s="389"/>
      <c r="H13" s="389"/>
      <c r="I13" s="390">
        <f>VLOOKUP($E$7,NXT!$C$12:$L$103,3,0)</f>
        <v>0</v>
      </c>
      <c r="J13" s="385"/>
      <c r="K13" s="391"/>
    </row>
    <row r="14" spans="1:12" ht="16.5" customHeight="1">
      <c r="A14" s="392">
        <f ca="1">IF(B14&lt;&gt;"",ROW()-(ROW()-1),"")</f>
        <v>1</v>
      </c>
      <c r="B14" s="393">
        <f ca="1">IF(ROWS($1:1)&gt;COUNT(Dong12),"",OFFSET(TH!E$1,SMALL(Dong12,ROWS($1:1)),))</f>
        <v>41209</v>
      </c>
      <c r="C14" s="457" t="str">
        <f ca="1">IF(ROWS($1:1)&gt;COUNT(Dong12),"",IF(MID(OFFSET(TH!D$1,SMALL(Dong12,ROWS($1:1)),),4,1)="N",OFFSET(TH!D$1,SMALL(Dong12,ROWS($1:1)),),""))</f>
        <v/>
      </c>
      <c r="D14" s="393" t="str">
        <f ca="1">IF(ROWS($1:1)&gt;COUNT(Dong12),"",IF(MID(OFFSET(TH!D$1,SMALL(Dong12,ROWS($1:1)),),4,1)="X",OFFSET(TH!D$1,SMALL(Dong12,ROWS($1:1)),),""))</f>
        <v/>
      </c>
      <c r="E14" s="653" t="str">
        <f ca="1">IF(ROWS($1:1)&gt;COUNT(Dong12),"",OFFSET(TH!H$1,SMALL(Dong12,ROWS($1:1)),))</f>
        <v>Cty TNHH SX TM Bao Bì Giấy Nam Long</v>
      </c>
      <c r="F14" s="393">
        <f ca="1">B14</f>
        <v>41209</v>
      </c>
      <c r="G14" s="394">
        <f ca="1">IF(ROWS($1:1)&gt;COUNT(Dong12),0,IF(MID(OFFSET(TH!D$1,SMALL(Dong12,ROWS($1:1)),),4,1)="N",OFFSET(TH!I$1,SMALL(Dong12,ROWS($1:1)),),0))</f>
        <v>0</v>
      </c>
      <c r="H14" s="394">
        <f ca="1">IF(ROWS($1:1)&gt;COUNT(Dong12),0,IF(MID(OFFSET(TH!D$1,SMALL(Dong12,ROWS($1:1)),),4,1)="X",OFFSET(TH!I$1,SMALL(Dong12,ROWS($1:1)),),0))</f>
        <v>0</v>
      </c>
      <c r="I14" s="395">
        <f ca="1">IF(E14&lt;&gt;"",I13+G14-H14,0)</f>
        <v>0</v>
      </c>
      <c r="J14" s="396"/>
      <c r="K14" s="397"/>
    </row>
    <row r="15" spans="1:12" ht="16.5" customHeight="1">
      <c r="A15" s="398" t="str">
        <f ca="1">IF(B15&lt;&gt;"",A14+1,"")</f>
        <v/>
      </c>
      <c r="B15" s="393" t="str">
        <f ca="1">IF(ROWS($1:2)&gt;COUNT(Dong12),"",OFFSET(TH!E$1,SMALL(Dong12,ROWS($1:2)),))</f>
        <v/>
      </c>
      <c r="C15" s="457" t="str">
        <f ca="1">IF(ROWS($1:2)&gt;COUNT(Dong12),"",IF(MID(OFFSET(TH!D$1,SMALL(Dong12,ROWS($1:2)),),4,1)="N",OFFSET(TH!D$1,SMALL(Dong12,ROWS($1:2)),),""))</f>
        <v/>
      </c>
      <c r="D15" s="393" t="str">
        <f ca="1">IF(ROWS($1:2)&gt;COUNT(Dong12),"",IF(MID(OFFSET(TH!D$1,SMALL(Dong12,ROWS($1:2)),),4,1)="X",OFFSET(TH!D$1,SMALL(Dong12,ROWS($1:2)),),""))</f>
        <v/>
      </c>
      <c r="E15" s="653" t="str">
        <f ca="1">IF(ROWS($1:2)&gt;COUNT(Dong12),"",OFFSET(TH!H$1,SMALL(Dong12,ROWS($1:2)),))</f>
        <v/>
      </c>
      <c r="F15" s="393" t="str">
        <f t="shared" ref="F15:F30" ca="1" si="0">B15</f>
        <v/>
      </c>
      <c r="G15" s="394">
        <f ca="1">IF(ROWS($1:2)&gt;COUNT(Dong12),0,IF(MID(OFFSET(TH!D$1,SMALL(Dong12,ROWS($1:2)),),4,1)="N",OFFSET(TH!I$1,SMALL(Dong12,ROWS($1:2)),),0))</f>
        <v>0</v>
      </c>
      <c r="H15" s="394">
        <f ca="1">IF(ROWS($1:2)&gt;COUNT(Dong12),0,IF(MID(OFFSET(TH!D$1,SMALL(Dong12,ROWS($1:2)),),4,1)="X",OFFSET(TH!I$1,SMALL(Dong12,ROWS($1:2)),),0))</f>
        <v>0</v>
      </c>
      <c r="I15" s="395">
        <f t="shared" ref="I15:I30" ca="1" si="1">IF(E15&lt;&gt;"",I14+G15-H15,0)</f>
        <v>0</v>
      </c>
      <c r="J15" s="396"/>
      <c r="K15" s="397"/>
    </row>
    <row r="16" spans="1:12" ht="16.5" customHeight="1">
      <c r="A16" s="398" t="str">
        <f t="shared" ref="A16:A30" ca="1" si="2">IF(B16&lt;&gt;"",A15+1,"")</f>
        <v/>
      </c>
      <c r="B16" s="393" t="str">
        <f ca="1">IF(ROWS($1:3)&gt;COUNT(Dong12),"",OFFSET(TH!E$1,SMALL(Dong12,ROWS($1:3)),))</f>
        <v/>
      </c>
      <c r="C16" s="457" t="str">
        <f ca="1">IF(ROWS($1:3)&gt;COUNT(Dong12),"",IF(MID(OFFSET(TH!D$1,SMALL(Dong12,ROWS($1:3)),),4,1)="N",OFFSET(TH!D$1,SMALL(Dong12,ROWS($1:3)),),""))</f>
        <v/>
      </c>
      <c r="D16" s="393" t="str">
        <f ca="1">IF(ROWS($1:3)&gt;COUNT(Dong12),"",IF(MID(OFFSET(TH!D$1,SMALL(Dong12,ROWS($1:3)),),4,1)="X",OFFSET(TH!D$1,SMALL(Dong12,ROWS($1:3)),),""))</f>
        <v/>
      </c>
      <c r="E16" s="653" t="str">
        <f ca="1">IF(ROWS($1:3)&gt;COUNT(Dong12),"",OFFSET(TH!H$1,SMALL(Dong12,ROWS($1:3)),))</f>
        <v/>
      </c>
      <c r="F16" s="393" t="str">
        <f t="shared" ca="1" si="0"/>
        <v/>
      </c>
      <c r="G16" s="394">
        <f ca="1">IF(ROWS($1:3)&gt;COUNT(Dong12),0,IF(MID(OFFSET(TH!D$1,SMALL(Dong12,ROWS($1:3)),),4,1)="N",OFFSET(TH!I$1,SMALL(Dong12,ROWS($1:3)),),0))</f>
        <v>0</v>
      </c>
      <c r="H16" s="394">
        <f ca="1">IF(ROWS($1:3)&gt;COUNT(Dong12),0,IF(MID(OFFSET(TH!D$1,SMALL(Dong12,ROWS($1:3)),),4,1)="X",OFFSET(TH!I$1,SMALL(Dong12,ROWS($1:3)),),0))</f>
        <v>0</v>
      </c>
      <c r="I16" s="395">
        <f t="shared" ca="1" si="1"/>
        <v>0</v>
      </c>
      <c r="J16" s="396"/>
      <c r="K16" s="397"/>
    </row>
    <row r="17" spans="1:11" ht="16.5" customHeight="1">
      <c r="A17" s="398" t="str">
        <f t="shared" ca="1" si="2"/>
        <v/>
      </c>
      <c r="B17" s="393" t="str">
        <f ca="1">IF(ROWS($1:4)&gt;COUNT(Dong12),"",OFFSET(TH!E$1,SMALL(Dong12,ROWS($1:4)),))</f>
        <v/>
      </c>
      <c r="C17" s="457" t="str">
        <f ca="1">IF(ROWS($1:4)&gt;COUNT(Dong12),"",IF(MID(OFFSET(TH!D$1,SMALL(Dong12,ROWS($1:4)),),4,1)="N",OFFSET(TH!D$1,SMALL(Dong12,ROWS($1:4)),),""))</f>
        <v/>
      </c>
      <c r="D17" s="393" t="str">
        <f ca="1">IF(ROWS($1:4)&gt;COUNT(Dong12),"",IF(MID(OFFSET(TH!D$1,SMALL(Dong12,ROWS($1:4)),),4,1)="X",OFFSET(TH!D$1,SMALL(Dong12,ROWS($1:4)),),""))</f>
        <v/>
      </c>
      <c r="E17" s="653" t="str">
        <f ca="1">IF(ROWS($1:4)&gt;COUNT(Dong12),"",OFFSET(TH!H$1,SMALL(Dong12,ROWS($1:4)),))</f>
        <v/>
      </c>
      <c r="F17" s="393" t="str">
        <f t="shared" ca="1" si="0"/>
        <v/>
      </c>
      <c r="G17" s="394">
        <f ca="1">IF(ROWS($1:4)&gt;COUNT(Dong12),0,IF(MID(OFFSET(TH!D$1,SMALL(Dong12,ROWS($1:4)),),4,1)="N",OFFSET(TH!I$1,SMALL(Dong12,ROWS($1:4)),),0))</f>
        <v>0</v>
      </c>
      <c r="H17" s="394">
        <f ca="1">IF(ROWS($1:4)&gt;COUNT(Dong12),0,IF(MID(OFFSET(TH!D$1,SMALL(Dong12,ROWS($1:4)),),4,1)="X",OFFSET(TH!I$1,SMALL(Dong12,ROWS($1:4)),),0))</f>
        <v>0</v>
      </c>
      <c r="I17" s="395">
        <f t="shared" ca="1" si="1"/>
        <v>0</v>
      </c>
      <c r="J17" s="396"/>
      <c r="K17" s="397"/>
    </row>
    <row r="18" spans="1:11" ht="16.5" customHeight="1">
      <c r="A18" s="398" t="str">
        <f t="shared" ca="1" si="2"/>
        <v/>
      </c>
      <c r="B18" s="393" t="str">
        <f ca="1">IF(ROWS($1:5)&gt;COUNT(Dong12),"",OFFSET(TH!E$1,SMALL(Dong12,ROWS($1:5)),))</f>
        <v/>
      </c>
      <c r="C18" s="457" t="str">
        <f ca="1">IF(ROWS($1:5)&gt;COUNT(Dong12),"",IF(MID(OFFSET(TH!D$1,SMALL(Dong12,ROWS($1:5)),),4,1)="N",OFFSET(TH!D$1,SMALL(Dong12,ROWS($1:5)),),""))</f>
        <v/>
      </c>
      <c r="D18" s="393" t="str">
        <f ca="1">IF(ROWS($1:5)&gt;COUNT(Dong12),"",IF(MID(OFFSET(TH!D$1,SMALL(Dong12,ROWS($1:5)),),4,1)="X",OFFSET(TH!D$1,SMALL(Dong12,ROWS($1:5)),),""))</f>
        <v/>
      </c>
      <c r="E18" s="653" t="str">
        <f ca="1">IF(ROWS($1:5)&gt;COUNT(Dong12),"",OFFSET(TH!H$1,SMALL(Dong12,ROWS($1:5)),))</f>
        <v/>
      </c>
      <c r="F18" s="393" t="str">
        <f t="shared" ca="1" si="0"/>
        <v/>
      </c>
      <c r="G18" s="394">
        <f ca="1">IF(ROWS($1:5)&gt;COUNT(Dong12),0,IF(MID(OFFSET(TH!D$1,SMALL(Dong12,ROWS($1:5)),),4,1)="N",OFFSET(TH!I$1,SMALL(Dong12,ROWS($1:5)),),0))</f>
        <v>0</v>
      </c>
      <c r="H18" s="394">
        <f ca="1">IF(ROWS($1:5)&gt;COUNT(Dong12),0,IF(MID(OFFSET(TH!D$1,SMALL(Dong12,ROWS($1:5)),),4,1)="X",OFFSET(TH!I$1,SMALL(Dong12,ROWS($1:5)),),0))</f>
        <v>0</v>
      </c>
      <c r="I18" s="395">
        <f t="shared" ca="1" si="1"/>
        <v>0</v>
      </c>
      <c r="J18" s="396"/>
      <c r="K18" s="397"/>
    </row>
    <row r="19" spans="1:11" ht="16.5" customHeight="1">
      <c r="A19" s="398" t="str">
        <f t="shared" ca="1" si="2"/>
        <v/>
      </c>
      <c r="B19" s="393" t="str">
        <f ca="1">IF(ROWS($1:6)&gt;COUNT(Dong12),"",OFFSET(TH!E$1,SMALL(Dong12,ROWS($1:6)),))</f>
        <v/>
      </c>
      <c r="C19" s="457" t="str">
        <f ca="1">IF(ROWS($1:6)&gt;COUNT(Dong12),"",IF(MID(OFFSET(TH!D$1,SMALL(Dong12,ROWS($1:6)),),4,1)="N",OFFSET(TH!D$1,SMALL(Dong12,ROWS($1:6)),),""))</f>
        <v/>
      </c>
      <c r="D19" s="393" t="str">
        <f ca="1">IF(ROWS($1:6)&gt;COUNT(Dong12),"",IF(MID(OFFSET(TH!D$1,SMALL(Dong12,ROWS($1:6)),),4,1)="X",OFFSET(TH!D$1,SMALL(Dong12,ROWS($1:6)),),""))</f>
        <v/>
      </c>
      <c r="E19" s="653" t="str">
        <f ca="1">IF(ROWS($1:6)&gt;COUNT(Dong12),"",OFFSET(TH!H$1,SMALL(Dong12,ROWS($1:6)),))</f>
        <v/>
      </c>
      <c r="F19" s="393" t="str">
        <f t="shared" ca="1" si="0"/>
        <v/>
      </c>
      <c r="G19" s="394">
        <f ca="1">IF(ROWS($1:6)&gt;COUNT(Dong12),0,IF(MID(OFFSET(TH!D$1,SMALL(Dong12,ROWS($1:6)),),4,1)="N",OFFSET(TH!I$1,SMALL(Dong12,ROWS($1:6)),),0))</f>
        <v>0</v>
      </c>
      <c r="H19" s="394">
        <f ca="1">IF(ROWS($1:6)&gt;COUNT(Dong12),0,IF(MID(OFFSET(TH!D$1,SMALL(Dong12,ROWS($1:6)),),4,1)="X",OFFSET(TH!I$1,SMALL(Dong12,ROWS($1:6)),),0))</f>
        <v>0</v>
      </c>
      <c r="I19" s="395">
        <f t="shared" ca="1" si="1"/>
        <v>0</v>
      </c>
      <c r="J19" s="396"/>
      <c r="K19" s="397"/>
    </row>
    <row r="20" spans="1:11" ht="16.5" customHeight="1">
      <c r="A20" s="398" t="str">
        <f t="shared" ca="1" si="2"/>
        <v/>
      </c>
      <c r="B20" s="393" t="str">
        <f ca="1">IF(ROWS($1:7)&gt;COUNT(Dong12),"",OFFSET(TH!E$1,SMALL(Dong12,ROWS($1:7)),))</f>
        <v/>
      </c>
      <c r="C20" s="457" t="str">
        <f ca="1">IF(ROWS($1:7)&gt;COUNT(Dong12),"",IF(MID(OFFSET(TH!D$1,SMALL(Dong12,ROWS($1:7)),),4,1)="N",OFFSET(TH!D$1,SMALL(Dong12,ROWS($1:7)),),""))</f>
        <v/>
      </c>
      <c r="D20" s="393" t="str">
        <f ca="1">IF(ROWS($1:7)&gt;COUNT(Dong12),"",IF(MID(OFFSET(TH!D$1,SMALL(Dong12,ROWS($1:7)),),4,1)="X",OFFSET(TH!D$1,SMALL(Dong12,ROWS($1:7)),),""))</f>
        <v/>
      </c>
      <c r="E20" s="653" t="str">
        <f ca="1">IF(ROWS($1:7)&gt;COUNT(Dong12),"",OFFSET(TH!H$1,SMALL(Dong12,ROWS($1:7)),))</f>
        <v/>
      </c>
      <c r="F20" s="393" t="str">
        <f t="shared" ca="1" si="0"/>
        <v/>
      </c>
      <c r="G20" s="394">
        <f ca="1">IF(ROWS($1:7)&gt;COUNT(Dong12),0,IF(MID(OFFSET(TH!D$1,SMALL(Dong12,ROWS($1:7)),),4,1)="N",OFFSET(TH!I$1,SMALL(Dong12,ROWS($1:7)),),0))</f>
        <v>0</v>
      </c>
      <c r="H20" s="394">
        <f ca="1">IF(ROWS($1:7)&gt;COUNT(Dong12),0,IF(MID(OFFSET(TH!D$1,SMALL(Dong12,ROWS($1:7)),),4,1)="X",OFFSET(TH!I$1,SMALL(Dong12,ROWS($1:7)),),0))</f>
        <v>0</v>
      </c>
      <c r="I20" s="395">
        <f t="shared" ca="1" si="1"/>
        <v>0</v>
      </c>
      <c r="J20" s="396"/>
      <c r="K20" s="397"/>
    </row>
    <row r="21" spans="1:11" ht="16.5" customHeight="1">
      <c r="A21" s="398" t="str">
        <f t="shared" ca="1" si="2"/>
        <v/>
      </c>
      <c r="B21" s="393" t="str">
        <f ca="1">IF(ROWS($1:8)&gt;COUNT(Dong12),"",OFFSET(TH!E$1,SMALL(Dong12,ROWS($1:8)),))</f>
        <v/>
      </c>
      <c r="C21" s="457" t="str">
        <f ca="1">IF(ROWS($1:8)&gt;COUNT(Dong12),"",IF(MID(OFFSET(TH!D$1,SMALL(Dong12,ROWS($1:8)),),4,1)="N",OFFSET(TH!D$1,SMALL(Dong12,ROWS($1:8)),),""))</f>
        <v/>
      </c>
      <c r="D21" s="393" t="str">
        <f ca="1">IF(ROWS($1:8)&gt;COUNT(Dong12),"",IF(MID(OFFSET(TH!D$1,SMALL(Dong12,ROWS($1:8)),),4,1)="X",OFFSET(TH!D$1,SMALL(Dong12,ROWS($1:8)),),""))</f>
        <v/>
      </c>
      <c r="E21" s="653" t="str">
        <f ca="1">IF(ROWS($1:8)&gt;COUNT(Dong12),"",OFFSET(TH!H$1,SMALL(Dong12,ROWS($1:8)),))</f>
        <v/>
      </c>
      <c r="F21" s="393" t="str">
        <f t="shared" ca="1" si="0"/>
        <v/>
      </c>
      <c r="G21" s="394">
        <f ca="1">IF(ROWS($1:8)&gt;COUNT(Dong12),0,IF(MID(OFFSET(TH!D$1,SMALL(Dong12,ROWS($1:8)),),4,1)="N",OFFSET(TH!I$1,SMALL(Dong12,ROWS($1:8)),),0))</f>
        <v>0</v>
      </c>
      <c r="H21" s="394">
        <f ca="1">IF(ROWS($1:8)&gt;COUNT(Dong12),0,IF(MID(OFFSET(TH!D$1,SMALL(Dong12,ROWS($1:8)),),4,1)="X",OFFSET(TH!I$1,SMALL(Dong12,ROWS($1:8)),),0))</f>
        <v>0</v>
      </c>
      <c r="I21" s="395">
        <f t="shared" ca="1" si="1"/>
        <v>0</v>
      </c>
      <c r="J21" s="396"/>
      <c r="K21" s="397"/>
    </row>
    <row r="22" spans="1:11" ht="16.5" customHeight="1">
      <c r="A22" s="398" t="str">
        <f t="shared" ca="1" si="2"/>
        <v/>
      </c>
      <c r="B22" s="393" t="str">
        <f ca="1">IF(ROWS($1:9)&gt;COUNT(Dong12),"",OFFSET(TH!E$1,SMALL(Dong12,ROWS($1:9)),))</f>
        <v/>
      </c>
      <c r="C22" s="457" t="str">
        <f ca="1">IF(ROWS($1:9)&gt;COUNT(Dong12),"",IF(MID(OFFSET(TH!D$1,SMALL(Dong12,ROWS($1:9)),),4,1)="N",OFFSET(TH!D$1,SMALL(Dong12,ROWS($1:9)),),""))</f>
        <v/>
      </c>
      <c r="D22" s="393" t="str">
        <f ca="1">IF(ROWS($1:9)&gt;COUNT(Dong12),"",IF(MID(OFFSET(TH!D$1,SMALL(Dong12,ROWS($1:9)),),4,1)="X",OFFSET(TH!D$1,SMALL(Dong12,ROWS($1:9)),),""))</f>
        <v/>
      </c>
      <c r="E22" s="653" t="str">
        <f ca="1">IF(ROWS($1:9)&gt;COUNT(Dong12),"",OFFSET(TH!H$1,SMALL(Dong12,ROWS($1:9)),))</f>
        <v/>
      </c>
      <c r="F22" s="393" t="str">
        <f t="shared" ca="1" si="0"/>
        <v/>
      </c>
      <c r="G22" s="394">
        <f ca="1">IF(ROWS($1:9)&gt;COUNT(Dong12),0,IF(MID(OFFSET(TH!D$1,SMALL(Dong12,ROWS($1:9)),),4,1)="N",OFFSET(TH!I$1,SMALL(Dong12,ROWS($1:9)),),0))</f>
        <v>0</v>
      </c>
      <c r="H22" s="394">
        <f ca="1">IF(ROWS($1:9)&gt;COUNT(Dong12),0,IF(MID(OFFSET(TH!D$1,SMALL(Dong12,ROWS($1:9)),),4,1)="X",OFFSET(TH!I$1,SMALL(Dong12,ROWS($1:9)),),0))</f>
        <v>0</v>
      </c>
      <c r="I22" s="395">
        <f t="shared" ca="1" si="1"/>
        <v>0</v>
      </c>
      <c r="J22" s="396"/>
      <c r="K22" s="397"/>
    </row>
    <row r="23" spans="1:11" ht="16.5" customHeight="1">
      <c r="A23" s="398" t="str">
        <f t="shared" ca="1" si="2"/>
        <v/>
      </c>
      <c r="B23" s="393" t="str">
        <f ca="1">IF(ROWS($1:10)&gt;COUNT(Dong12),"",OFFSET(TH!E$1,SMALL(Dong12,ROWS($1:10)),))</f>
        <v/>
      </c>
      <c r="C23" s="457" t="str">
        <f ca="1">IF(ROWS($1:10)&gt;COUNT(Dong12),"",IF(MID(OFFSET(TH!D$1,SMALL(Dong12,ROWS($1:10)),),4,1)="N",OFFSET(TH!D$1,SMALL(Dong12,ROWS($1:10)),),""))</f>
        <v/>
      </c>
      <c r="D23" s="393" t="str">
        <f ca="1">IF(ROWS($1:10)&gt;COUNT(Dong12),"",IF(MID(OFFSET(TH!D$1,SMALL(Dong12,ROWS($1:10)),),4,1)="X",OFFSET(TH!D$1,SMALL(Dong12,ROWS($1:10)),),""))</f>
        <v/>
      </c>
      <c r="E23" s="653" t="str">
        <f ca="1">IF(ROWS($1:10)&gt;COUNT(Dong12),"",OFFSET(TH!H$1,SMALL(Dong12,ROWS($1:10)),))</f>
        <v/>
      </c>
      <c r="F23" s="393" t="str">
        <f t="shared" ca="1" si="0"/>
        <v/>
      </c>
      <c r="G23" s="394">
        <f ca="1">IF(ROWS($1:10)&gt;COUNT(Dong12),0,IF(MID(OFFSET(TH!D$1,SMALL(Dong12,ROWS($1:10)),),4,1)="N",OFFSET(TH!I$1,SMALL(Dong12,ROWS($1:10)),),0))</f>
        <v>0</v>
      </c>
      <c r="H23" s="394">
        <f ca="1">IF(ROWS($1:10)&gt;COUNT(Dong12),0,IF(MID(OFFSET(TH!D$1,SMALL(Dong12,ROWS($1:10)),),4,1)="X",OFFSET(TH!I$1,SMALL(Dong12,ROWS($1:10)),),0))</f>
        <v>0</v>
      </c>
      <c r="I23" s="395">
        <f t="shared" ca="1" si="1"/>
        <v>0</v>
      </c>
      <c r="J23" s="396"/>
      <c r="K23" s="397"/>
    </row>
    <row r="24" spans="1:11" ht="16.5" customHeight="1">
      <c r="A24" s="398" t="str">
        <f t="shared" ca="1" si="2"/>
        <v/>
      </c>
      <c r="B24" s="393" t="str">
        <f ca="1">IF(ROWS($1:11)&gt;COUNT(Dong12),"",OFFSET(TH!E$1,SMALL(Dong12,ROWS($1:11)),))</f>
        <v/>
      </c>
      <c r="C24" s="457" t="str">
        <f ca="1">IF(ROWS($1:11)&gt;COUNT(Dong12),"",IF(MID(OFFSET(TH!D$1,SMALL(Dong12,ROWS($1:11)),),4,1)="N",OFFSET(TH!D$1,SMALL(Dong12,ROWS($1:11)),),""))</f>
        <v/>
      </c>
      <c r="D24" s="393" t="str">
        <f ca="1">IF(ROWS($1:11)&gt;COUNT(Dong12),"",IF(MID(OFFSET(TH!D$1,SMALL(Dong12,ROWS($1:11)),),4,1)="X",OFFSET(TH!D$1,SMALL(Dong12,ROWS($1:11)),),""))</f>
        <v/>
      </c>
      <c r="E24" s="653" t="str">
        <f ca="1">IF(ROWS($1:11)&gt;COUNT(Dong12),"",OFFSET(TH!H$1,SMALL(Dong12,ROWS($1:11)),))</f>
        <v/>
      </c>
      <c r="F24" s="393" t="str">
        <f t="shared" ca="1" si="0"/>
        <v/>
      </c>
      <c r="G24" s="394">
        <f ca="1">IF(ROWS($1:11)&gt;COUNT(Dong12),0,IF(MID(OFFSET(TH!D$1,SMALL(Dong12,ROWS($1:11)),),4,1)="N",OFFSET(TH!I$1,SMALL(Dong12,ROWS($1:11)),),0))</f>
        <v>0</v>
      </c>
      <c r="H24" s="394">
        <f ca="1">IF(ROWS($1:11)&gt;COUNT(Dong12),0,IF(MID(OFFSET(TH!D$1,SMALL(Dong12,ROWS($1:11)),),4,1)="X",OFFSET(TH!I$1,SMALL(Dong12,ROWS($1:11)),),0))</f>
        <v>0</v>
      </c>
      <c r="I24" s="395">
        <f t="shared" ca="1" si="1"/>
        <v>0</v>
      </c>
      <c r="J24" s="396"/>
      <c r="K24" s="397"/>
    </row>
    <row r="25" spans="1:11" ht="16.5" customHeight="1">
      <c r="A25" s="398" t="str">
        <f t="shared" ca="1" si="2"/>
        <v/>
      </c>
      <c r="B25" s="393" t="str">
        <f ca="1">IF(ROWS($1:12)&gt;COUNT(Dong12),"",OFFSET(TH!E$1,SMALL(Dong12,ROWS($1:12)),))</f>
        <v/>
      </c>
      <c r="C25" s="457" t="str">
        <f ca="1">IF(ROWS($1:12)&gt;COUNT(Dong12),"",IF(MID(OFFSET(TH!D$1,SMALL(Dong12,ROWS($1:12)),),4,1)="N",OFFSET(TH!D$1,SMALL(Dong12,ROWS($1:12)),),""))</f>
        <v/>
      </c>
      <c r="D25" s="393" t="str">
        <f ca="1">IF(ROWS($1:12)&gt;COUNT(Dong12),"",IF(MID(OFFSET(TH!D$1,SMALL(Dong12,ROWS($1:12)),),4,1)="X",OFFSET(TH!D$1,SMALL(Dong12,ROWS($1:12)),),""))</f>
        <v/>
      </c>
      <c r="E25" s="653" t="str">
        <f ca="1">IF(ROWS($1:12)&gt;COUNT(Dong12),"",OFFSET(TH!H$1,SMALL(Dong12,ROWS($1:12)),))</f>
        <v/>
      </c>
      <c r="F25" s="393" t="str">
        <f t="shared" ca="1" si="0"/>
        <v/>
      </c>
      <c r="G25" s="394">
        <f ca="1">IF(ROWS($1:12)&gt;COUNT(Dong12),0,IF(MID(OFFSET(TH!D$1,SMALL(Dong12,ROWS($1:12)),),4,1)="N",OFFSET(TH!I$1,SMALL(Dong12,ROWS($1:12)),),0))</f>
        <v>0</v>
      </c>
      <c r="H25" s="394">
        <f ca="1">IF(ROWS($1:12)&gt;COUNT(Dong12),0,IF(MID(OFFSET(TH!D$1,SMALL(Dong12,ROWS($1:12)),),4,1)="X",OFFSET(TH!I$1,SMALL(Dong12,ROWS($1:12)),),0))</f>
        <v>0</v>
      </c>
      <c r="I25" s="395">
        <f t="shared" ca="1" si="1"/>
        <v>0</v>
      </c>
      <c r="J25" s="396"/>
      <c r="K25" s="397"/>
    </row>
    <row r="26" spans="1:11" ht="16.5" customHeight="1">
      <c r="A26" s="398" t="str">
        <f t="shared" ca="1" si="2"/>
        <v/>
      </c>
      <c r="B26" s="393" t="str">
        <f ca="1">IF(ROWS($1:13)&gt;COUNT(Dong12),"",OFFSET(TH!E$1,SMALL(Dong12,ROWS($1:13)),))</f>
        <v/>
      </c>
      <c r="C26" s="457" t="str">
        <f ca="1">IF(ROWS($1:13)&gt;COUNT(Dong12),"",IF(MID(OFFSET(TH!D$1,SMALL(Dong12,ROWS($1:13)),),4,1)="N",OFFSET(TH!D$1,SMALL(Dong12,ROWS($1:13)),),""))</f>
        <v/>
      </c>
      <c r="D26" s="393" t="str">
        <f ca="1">IF(ROWS($1:13)&gt;COUNT(Dong12),"",IF(MID(OFFSET(TH!D$1,SMALL(Dong12,ROWS($1:13)),),4,1)="X",OFFSET(TH!D$1,SMALL(Dong12,ROWS($1:13)),),""))</f>
        <v/>
      </c>
      <c r="E26" s="653" t="str">
        <f ca="1">IF(ROWS($1:13)&gt;COUNT(Dong12),"",OFFSET(TH!H$1,SMALL(Dong12,ROWS($1:13)),))</f>
        <v/>
      </c>
      <c r="F26" s="393" t="str">
        <f t="shared" ca="1" si="0"/>
        <v/>
      </c>
      <c r="G26" s="394">
        <f ca="1">IF(ROWS($1:13)&gt;COUNT(Dong12),0,IF(MID(OFFSET(TH!D$1,SMALL(Dong12,ROWS($1:13)),),4,1)="N",OFFSET(TH!I$1,SMALL(Dong12,ROWS($1:13)),),0))</f>
        <v>0</v>
      </c>
      <c r="H26" s="394">
        <f ca="1">IF(ROWS($1:13)&gt;COUNT(Dong12),0,IF(MID(OFFSET(TH!D$1,SMALL(Dong12,ROWS($1:13)),),4,1)="X",OFFSET(TH!I$1,SMALL(Dong12,ROWS($1:13)),),0))</f>
        <v>0</v>
      </c>
      <c r="I26" s="395">
        <f t="shared" ca="1" si="1"/>
        <v>0</v>
      </c>
      <c r="J26" s="396"/>
      <c r="K26" s="397"/>
    </row>
    <row r="27" spans="1:11" ht="16.5" customHeight="1">
      <c r="A27" s="398" t="str">
        <f t="shared" ca="1" si="2"/>
        <v/>
      </c>
      <c r="B27" s="393" t="str">
        <f ca="1">IF(ROWS($1:14)&gt;COUNT(Dong12),"",OFFSET(TH!E$1,SMALL(Dong12,ROWS($1:14)),))</f>
        <v/>
      </c>
      <c r="C27" s="457" t="str">
        <f ca="1">IF(ROWS($1:14)&gt;COUNT(Dong12),"",IF(MID(OFFSET(TH!D$1,SMALL(Dong12,ROWS($1:14)),),4,1)="N",OFFSET(TH!D$1,SMALL(Dong12,ROWS($1:14)),),""))</f>
        <v/>
      </c>
      <c r="D27" s="393" t="str">
        <f ca="1">IF(ROWS($1:14)&gt;COUNT(Dong12),"",IF(MID(OFFSET(TH!D$1,SMALL(Dong12,ROWS($1:14)),),4,1)="X",OFFSET(TH!D$1,SMALL(Dong12,ROWS($1:14)),),""))</f>
        <v/>
      </c>
      <c r="E27" s="653" t="str">
        <f ca="1">IF(ROWS($1:14)&gt;COUNT(Dong12),"",OFFSET(TH!H$1,SMALL(Dong12,ROWS($1:14)),))</f>
        <v/>
      </c>
      <c r="F27" s="393" t="str">
        <f t="shared" ca="1" si="0"/>
        <v/>
      </c>
      <c r="G27" s="394">
        <f ca="1">IF(ROWS($1:14)&gt;COUNT(Dong12),0,IF(MID(OFFSET(TH!D$1,SMALL(Dong12,ROWS($1:14)),),4,1)="N",OFFSET(TH!I$1,SMALL(Dong12,ROWS($1:14)),),0))</f>
        <v>0</v>
      </c>
      <c r="H27" s="394">
        <f ca="1">IF(ROWS($1:14)&gt;COUNT(Dong12),0,IF(MID(OFFSET(TH!D$1,SMALL(Dong12,ROWS($1:14)),),4,1)="X",OFFSET(TH!I$1,SMALL(Dong12,ROWS($1:14)),),0))</f>
        <v>0</v>
      </c>
      <c r="I27" s="395">
        <f t="shared" ca="1" si="1"/>
        <v>0</v>
      </c>
      <c r="J27" s="396"/>
      <c r="K27" s="397"/>
    </row>
    <row r="28" spans="1:11" ht="16.5" customHeight="1">
      <c r="A28" s="398" t="str">
        <f t="shared" ca="1" si="2"/>
        <v/>
      </c>
      <c r="B28" s="393" t="str">
        <f ca="1">IF(ROWS($1:15)&gt;COUNT(Dong12),"",OFFSET(TH!E$1,SMALL(Dong12,ROWS($1:15)),))</f>
        <v/>
      </c>
      <c r="C28" s="457" t="str">
        <f ca="1">IF(ROWS($1:15)&gt;COUNT(Dong12),"",IF(MID(OFFSET(TH!D$1,SMALL(Dong12,ROWS($1:15)),),4,1)="N",OFFSET(TH!D$1,SMALL(Dong12,ROWS($1:15)),),""))</f>
        <v/>
      </c>
      <c r="D28" s="393" t="str">
        <f ca="1">IF(ROWS($1:15)&gt;COUNT(Dong12),"",IF(MID(OFFSET(TH!D$1,SMALL(Dong12,ROWS($1:15)),),4,1)="X",OFFSET(TH!D$1,SMALL(Dong12,ROWS($1:15)),),""))</f>
        <v/>
      </c>
      <c r="E28" s="653" t="str">
        <f ca="1">IF(ROWS($1:15)&gt;COUNT(Dong12),"",OFFSET(TH!H$1,SMALL(Dong12,ROWS($1:15)),))</f>
        <v/>
      </c>
      <c r="F28" s="393" t="str">
        <f t="shared" ca="1" si="0"/>
        <v/>
      </c>
      <c r="G28" s="394">
        <f ca="1">IF(ROWS($1:15)&gt;COUNT(Dong12),0,IF(MID(OFFSET(TH!D$1,SMALL(Dong12,ROWS($1:15)),),4,1)="N",OFFSET(TH!I$1,SMALL(Dong12,ROWS($1:15)),),0))</f>
        <v>0</v>
      </c>
      <c r="H28" s="394">
        <f ca="1">IF(ROWS($1:15)&gt;COUNT(Dong12),0,IF(MID(OFFSET(TH!D$1,SMALL(Dong12,ROWS($1:15)),),4,1)="X",OFFSET(TH!I$1,SMALL(Dong12,ROWS($1:15)),),0))</f>
        <v>0</v>
      </c>
      <c r="I28" s="395">
        <f t="shared" ca="1" si="1"/>
        <v>0</v>
      </c>
      <c r="J28" s="396"/>
      <c r="K28" s="397"/>
    </row>
    <row r="29" spans="1:11" ht="16.5" customHeight="1">
      <c r="A29" s="398" t="str">
        <f t="shared" ca="1" si="2"/>
        <v/>
      </c>
      <c r="B29" s="393" t="str">
        <f ca="1">IF(ROWS($1:16)&gt;COUNT(Dong12),"",OFFSET(TH!E$1,SMALL(Dong12,ROWS($1:16)),))</f>
        <v/>
      </c>
      <c r="C29" s="457" t="str">
        <f ca="1">IF(ROWS($1:16)&gt;COUNT(Dong12),"",IF(MID(OFFSET(TH!D$1,SMALL(Dong12,ROWS($1:16)),),4,1)="N",OFFSET(TH!D$1,SMALL(Dong12,ROWS($1:16)),),""))</f>
        <v/>
      </c>
      <c r="D29" s="393" t="str">
        <f ca="1">IF(ROWS($1:16)&gt;COUNT(Dong12),"",IF(MID(OFFSET(TH!D$1,SMALL(Dong12,ROWS($1:16)),),4,1)="X",OFFSET(TH!D$1,SMALL(Dong12,ROWS($1:16)),),""))</f>
        <v/>
      </c>
      <c r="E29" s="653" t="str">
        <f ca="1">IF(ROWS($1:16)&gt;COUNT(Dong12),"",OFFSET(TH!H$1,SMALL(Dong12,ROWS($1:16)),))</f>
        <v/>
      </c>
      <c r="F29" s="393" t="str">
        <f t="shared" ca="1" si="0"/>
        <v/>
      </c>
      <c r="G29" s="394">
        <f ca="1">IF(ROWS($1:16)&gt;COUNT(Dong12),0,IF(MID(OFFSET(TH!D$1,SMALL(Dong12,ROWS($1:16)),),4,1)="N",OFFSET(TH!I$1,SMALL(Dong12,ROWS($1:16)),),0))</f>
        <v>0</v>
      </c>
      <c r="H29" s="394">
        <f ca="1">IF(ROWS($1:16)&gt;COUNT(Dong12),0,IF(MID(OFFSET(TH!D$1,SMALL(Dong12,ROWS($1:16)),),4,1)="X",OFFSET(TH!I$1,SMALL(Dong12,ROWS($1:16)),),0))</f>
        <v>0</v>
      </c>
      <c r="I29" s="395">
        <f t="shared" ca="1" si="1"/>
        <v>0</v>
      </c>
      <c r="J29" s="396"/>
      <c r="K29" s="397"/>
    </row>
    <row r="30" spans="1:11" ht="16.5" customHeight="1">
      <c r="A30" s="398" t="str">
        <f t="shared" ca="1" si="2"/>
        <v/>
      </c>
      <c r="B30" s="393" t="str">
        <f ca="1">IF(ROWS($1:17)&gt;COUNT(Dong12),"",OFFSET(TH!E$1,SMALL(Dong12,ROWS($1:17)),))</f>
        <v/>
      </c>
      <c r="C30" s="457" t="str">
        <f ca="1">IF(ROWS($1:17)&gt;COUNT(Dong12),"",IF(MID(OFFSET(TH!D$1,SMALL(Dong12,ROWS($1:17)),),4,1)="N",OFFSET(TH!D$1,SMALL(Dong12,ROWS($1:17)),),""))</f>
        <v/>
      </c>
      <c r="D30" s="393" t="str">
        <f ca="1">IF(ROWS($1:17)&gt;COUNT(Dong12),"",IF(MID(OFFSET(TH!D$1,SMALL(Dong12,ROWS($1:17)),),4,1)="X",OFFSET(TH!D$1,SMALL(Dong12,ROWS($1:17)),),""))</f>
        <v/>
      </c>
      <c r="E30" s="653" t="str">
        <f ca="1">IF(ROWS($1:17)&gt;COUNT(Dong12),"",OFFSET(TH!H$1,SMALL(Dong12,ROWS($1:17)),))</f>
        <v/>
      </c>
      <c r="F30" s="393" t="str">
        <f t="shared" ca="1" si="0"/>
        <v/>
      </c>
      <c r="G30" s="394">
        <f ca="1">IF(ROWS($1:17)&gt;COUNT(Dong12),0,IF(MID(OFFSET(TH!D$1,SMALL(Dong12,ROWS($1:17)),),4,1)="N",OFFSET(TH!I$1,SMALL(Dong12,ROWS($1:17)),),0))</f>
        <v>0</v>
      </c>
      <c r="H30" s="394">
        <f ca="1">IF(ROWS($1:17)&gt;COUNT(Dong12),0,IF(MID(OFFSET(TH!D$1,SMALL(Dong12,ROWS($1:17)),),4,1)="X",OFFSET(TH!I$1,SMALL(Dong12,ROWS($1:17)),),0))</f>
        <v>0</v>
      </c>
      <c r="I30" s="395">
        <f t="shared" ca="1" si="1"/>
        <v>0</v>
      </c>
      <c r="J30" s="396"/>
      <c r="K30" s="397"/>
    </row>
    <row r="31" spans="1:11" ht="16.5" customHeight="1">
      <c r="A31" s="399" t="str">
        <f>IF(D31&lt;&gt;"",A21+1,"")</f>
        <v/>
      </c>
      <c r="B31" s="400"/>
      <c r="C31" s="401"/>
      <c r="D31" s="401"/>
      <c r="E31" s="654"/>
      <c r="F31" s="400"/>
      <c r="G31" s="402"/>
      <c r="H31" s="402"/>
      <c r="I31" s="402"/>
      <c r="J31" s="403"/>
      <c r="K31" s="397"/>
    </row>
    <row r="32" spans="1:11" ht="16.5" customHeight="1">
      <c r="A32" s="387"/>
      <c r="B32" s="404"/>
      <c r="C32" s="387"/>
      <c r="D32" s="387"/>
      <c r="E32" s="388" t="s">
        <v>238</v>
      </c>
      <c r="F32" s="405" t="s">
        <v>19</v>
      </c>
      <c r="G32" s="406">
        <f ca="1">SUM(G14:G31)</f>
        <v>0</v>
      </c>
      <c r="H32" s="406">
        <f ca="1">SUM(H14:H31)</f>
        <v>0</v>
      </c>
      <c r="I32" s="406">
        <f ca="1">I13+G32-H32</f>
        <v>0</v>
      </c>
      <c r="J32" s="387" t="s">
        <v>19</v>
      </c>
      <c r="K32" s="407"/>
    </row>
    <row r="33" spans="1:11" ht="12.75" customHeight="1">
      <c r="A33" s="408"/>
      <c r="B33" s="366"/>
      <c r="C33" s="408"/>
      <c r="D33" s="408"/>
      <c r="E33" s="372"/>
      <c r="F33" s="366"/>
      <c r="G33" s="373"/>
      <c r="H33" s="373"/>
      <c r="I33" s="373"/>
      <c r="J33" s="362"/>
      <c r="K33" s="362"/>
    </row>
    <row r="34" spans="1:11" ht="15">
      <c r="A34" s="409" t="s">
        <v>239</v>
      </c>
      <c r="B34" s="409"/>
      <c r="C34" s="410"/>
      <c r="D34" s="410"/>
      <c r="E34" s="372"/>
      <c r="F34" s="366"/>
      <c r="G34" s="373"/>
      <c r="H34" s="373"/>
      <c r="I34" s="373"/>
      <c r="J34" s="362"/>
      <c r="K34" s="362"/>
    </row>
    <row r="35" spans="1:11" ht="15">
      <c r="A35" s="100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27 tháng 10 năm 2012</v>
      </c>
      <c r="B35" s="1009"/>
      <c r="C35" s="1009"/>
      <c r="D35" s="1009"/>
      <c r="E35" s="1009"/>
      <c r="F35" s="366"/>
      <c r="G35" s="373"/>
      <c r="H35" s="373"/>
      <c r="I35" s="373"/>
      <c r="J35" s="362"/>
      <c r="K35" s="362"/>
    </row>
    <row r="36" spans="1:11" ht="15">
      <c r="A36" s="411"/>
      <c r="B36" s="412"/>
      <c r="C36" s="413"/>
      <c r="D36" s="408"/>
      <c r="E36" s="372"/>
      <c r="F36" s="366"/>
      <c r="H36" s="294"/>
      <c r="I36" s="545" t="str">
        <f ca="1">"Ngày 31 tháng  12  năm  "&amp;YEAR($B$14)</f>
        <v>Ngày 31 tháng  12  năm  2012</v>
      </c>
      <c r="J36" s="294"/>
      <c r="K36" s="295"/>
    </row>
    <row r="37" spans="1:11" ht="15" customHeight="1">
      <c r="A37" s="411"/>
      <c r="C37" s="414" t="s">
        <v>240</v>
      </c>
      <c r="D37" s="408"/>
      <c r="E37" s="1010" t="s">
        <v>12</v>
      </c>
      <c r="F37" s="1010"/>
      <c r="G37" s="373"/>
      <c r="I37" s="578" t="s">
        <v>109</v>
      </c>
      <c r="J37" s="364"/>
      <c r="K37" s="411"/>
    </row>
    <row r="38" spans="1:11" ht="15" customHeight="1">
      <c r="A38" s="415"/>
      <c r="C38" s="416" t="s">
        <v>13</v>
      </c>
      <c r="D38" s="417"/>
      <c r="E38" s="1004" t="s">
        <v>13</v>
      </c>
      <c r="F38" s="1004"/>
      <c r="G38" s="373"/>
      <c r="I38" s="579" t="s">
        <v>136</v>
      </c>
      <c r="J38" s="577"/>
      <c r="K38" s="415"/>
    </row>
    <row r="39" spans="1:11" ht="15">
      <c r="A39" s="415"/>
      <c r="C39" s="416"/>
      <c r="D39" s="408"/>
      <c r="E39" s="418"/>
      <c r="F39" s="419"/>
      <c r="G39" s="373"/>
      <c r="H39" s="415"/>
      <c r="I39" s="415"/>
      <c r="J39" s="415"/>
      <c r="K39" s="415"/>
    </row>
    <row r="40" spans="1:11" ht="15">
      <c r="A40" s="415"/>
      <c r="B40" s="416"/>
      <c r="C40" s="415"/>
      <c r="D40" s="408"/>
      <c r="E40" s="418"/>
      <c r="F40" s="419"/>
      <c r="G40" s="373"/>
      <c r="H40" s="415"/>
      <c r="I40" s="415"/>
      <c r="J40" s="415"/>
      <c r="K40" s="415"/>
    </row>
    <row r="41" spans="1:11" ht="15">
      <c r="A41" s="415"/>
      <c r="B41" s="416"/>
      <c r="C41" s="415"/>
      <c r="D41" s="408"/>
      <c r="E41" s="418"/>
      <c r="F41" s="419"/>
      <c r="G41" s="373"/>
      <c r="H41" s="415"/>
      <c r="I41" s="415"/>
      <c r="J41" s="415"/>
      <c r="K41" s="415"/>
    </row>
    <row r="46" spans="1:11" ht="15">
      <c r="C46" s="580" t="s">
        <v>343</v>
      </c>
      <c r="H46" s="576"/>
      <c r="I46" s="575" t="s">
        <v>103</v>
      </c>
      <c r="J46" s="57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158"/>
  <sheetViews>
    <sheetView workbookViewId="0">
      <selection activeCell="A180" sqref="A148:XFD180"/>
    </sheetView>
  </sheetViews>
  <sheetFormatPr defaultColWidth="10.28515625" defaultRowHeight="12.75"/>
  <cols>
    <col min="1" max="1" width="4.7109375" style="734" customWidth="1"/>
    <col min="2" max="2" width="23.140625" style="734" customWidth="1"/>
    <col min="3" max="3" width="12.140625" style="734" customWidth="1"/>
    <col min="4" max="4" width="11" style="734" customWidth="1"/>
    <col min="5" max="5" width="9.7109375" style="734" customWidth="1"/>
    <col min="6" max="6" width="11.140625" style="734" customWidth="1"/>
    <col min="7" max="7" width="10.140625" style="734" customWidth="1"/>
    <col min="8" max="8" width="10.85546875" style="734" customWidth="1"/>
    <col min="9" max="9" width="9.7109375" style="734" customWidth="1"/>
    <col min="10" max="10" width="13.7109375" style="426" hidden="1" customWidth="1"/>
    <col min="11" max="11" width="12" style="734" customWidth="1"/>
    <col min="12" max="13" width="7.42578125" style="734" customWidth="1"/>
    <col min="14" max="14" width="7.140625" style="746" customWidth="1"/>
    <col min="15" max="15" width="2" style="746" customWidth="1"/>
    <col min="16" max="16" width="23" style="734" customWidth="1"/>
    <col min="17" max="17" width="10.140625" style="747" customWidth="1"/>
    <col min="18" max="18" width="6.42578125" style="748" customWidth="1"/>
    <col min="19" max="19" width="7" style="795" customWidth="1"/>
    <col min="20" max="20" width="7.5703125" style="284" customWidth="1"/>
    <col min="21" max="21" width="12.42578125" style="734" customWidth="1"/>
    <col min="22" max="22" width="15.85546875" style="734" customWidth="1"/>
    <col min="23" max="23" width="8.28515625" style="747" customWidth="1"/>
    <col min="24" max="24" width="7.5703125" style="284" customWidth="1"/>
    <col min="25" max="25" width="9" style="284" customWidth="1"/>
    <col min="26" max="26" width="9.7109375" style="734" customWidth="1"/>
    <col min="27" max="27" width="10.28515625" style="734" customWidth="1"/>
    <col min="28" max="16384" width="10.28515625" style="734"/>
  </cols>
  <sheetData>
    <row r="1" spans="1:28">
      <c r="B1" s="734">
        <v>1</v>
      </c>
      <c r="C1" s="734">
        <v>5</v>
      </c>
      <c r="D1" s="734">
        <v>6</v>
      </c>
      <c r="E1" s="734">
        <v>7</v>
      </c>
      <c r="F1" s="734">
        <v>8</v>
      </c>
      <c r="G1" s="734">
        <v>9</v>
      </c>
      <c r="H1" s="734">
        <v>10</v>
      </c>
      <c r="I1" s="734">
        <v>11</v>
      </c>
      <c r="J1" s="426">
        <v>12</v>
      </c>
      <c r="K1" s="734">
        <v>13</v>
      </c>
      <c r="L1" s="734">
        <v>14</v>
      </c>
      <c r="M1" s="734">
        <v>15</v>
      </c>
    </row>
    <row r="2" spans="1:28" ht="18" customHeight="1">
      <c r="A2" s="559" t="str">
        <f>TH!$A$1</f>
        <v>Đơn vị: CÔNG TY TNHH MỘT THÀNH VIÊN KHỞI NGUYÊN AN</v>
      </c>
      <c r="B2" s="735"/>
      <c r="C2" s="284"/>
      <c r="D2" s="284"/>
      <c r="E2" s="284"/>
      <c r="F2" s="284"/>
      <c r="G2" s="284"/>
      <c r="H2" s="284"/>
      <c r="I2" s="284"/>
      <c r="J2" s="427"/>
      <c r="K2" s="284"/>
      <c r="L2" s="587"/>
      <c r="M2" s="284"/>
      <c r="N2" s="749"/>
      <c r="O2" s="749"/>
      <c r="P2" s="284"/>
      <c r="Q2" s="729"/>
      <c r="V2" s="284"/>
      <c r="W2" s="729"/>
    </row>
    <row r="3" spans="1:28" ht="18.75" customHeight="1">
      <c r="A3" s="736" t="s">
        <v>447</v>
      </c>
      <c r="B3" s="736"/>
      <c r="C3" s="736"/>
      <c r="D3" s="736"/>
      <c r="E3" s="736"/>
      <c r="F3" s="736"/>
      <c r="G3" s="736"/>
      <c r="H3" s="736"/>
      <c r="I3" s="736"/>
      <c r="J3" s="428"/>
      <c r="K3" s="736"/>
      <c r="L3" s="736"/>
      <c r="M3" s="736"/>
      <c r="N3" s="749"/>
      <c r="O3" s="749"/>
      <c r="P3" s="284"/>
      <c r="Q3" s="729"/>
      <c r="V3" s="284"/>
      <c r="W3" s="729"/>
    </row>
    <row r="4" spans="1:28" ht="18.75" customHeight="1">
      <c r="A4" s="736"/>
      <c r="B4" s="737"/>
      <c r="C4" s="737"/>
      <c r="D4" s="737"/>
      <c r="E4" s="737"/>
      <c r="F4" s="737"/>
      <c r="G4" s="737"/>
      <c r="H4" s="737"/>
      <c r="I4" s="736"/>
      <c r="J4" s="429"/>
      <c r="K4" s="737"/>
      <c r="L4" s="750"/>
      <c r="M4" s="737"/>
      <c r="N4" s="749"/>
      <c r="O4" s="749"/>
      <c r="P4" s="284"/>
      <c r="Q4" s="729"/>
      <c r="V4" s="284"/>
      <c r="W4" s="729"/>
    </row>
    <row r="5" spans="1:28" ht="12.75" customHeight="1">
      <c r="A5" s="788"/>
      <c r="B5" s="781"/>
      <c r="C5" s="781"/>
      <c r="D5" s="781"/>
      <c r="E5" s="781"/>
      <c r="F5" s="781"/>
      <c r="G5" s="781"/>
      <c r="H5" s="781"/>
      <c r="I5" s="781"/>
      <c r="J5" s="430"/>
      <c r="K5" s="781"/>
      <c r="L5" s="751"/>
      <c r="M5" s="781"/>
      <c r="N5" s="749"/>
      <c r="O5" s="749"/>
      <c r="P5" s="744"/>
      <c r="Q5" s="788"/>
      <c r="R5" s="788"/>
      <c r="S5" s="796"/>
      <c r="T5" s="752"/>
      <c r="U5" s="788"/>
      <c r="V5" s="788"/>
      <c r="W5" s="788"/>
      <c r="X5" s="788"/>
      <c r="Y5" s="788"/>
      <c r="Z5" s="788"/>
      <c r="AA5" s="744"/>
      <c r="AB5" s="744"/>
    </row>
    <row r="6" spans="1:28" s="436" customFormat="1" ht="30.75" customHeight="1">
      <c r="A6" s="806" t="s">
        <v>35</v>
      </c>
      <c r="B6" s="431" t="s">
        <v>241</v>
      </c>
      <c r="C6" s="432" t="s">
        <v>245</v>
      </c>
      <c r="D6" s="432" t="s">
        <v>456</v>
      </c>
      <c r="E6" s="432" t="s">
        <v>246</v>
      </c>
      <c r="F6" s="432" t="s">
        <v>446</v>
      </c>
      <c r="G6" s="432" t="s">
        <v>247</v>
      </c>
      <c r="H6" s="433" t="s">
        <v>248</v>
      </c>
      <c r="I6" s="432" t="s">
        <v>445</v>
      </c>
      <c r="J6" s="433" t="s">
        <v>249</v>
      </c>
      <c r="K6" s="432" t="s">
        <v>250</v>
      </c>
      <c r="L6" s="434" t="s">
        <v>243</v>
      </c>
      <c r="M6" s="432" t="s">
        <v>251</v>
      </c>
      <c r="N6" s="435"/>
      <c r="O6" s="435"/>
      <c r="P6" s="431" t="s">
        <v>241</v>
      </c>
      <c r="Q6" s="432" t="s">
        <v>235</v>
      </c>
      <c r="R6" s="730" t="s">
        <v>242</v>
      </c>
      <c r="S6" s="797" t="s">
        <v>202</v>
      </c>
      <c r="T6" s="432" t="s">
        <v>244</v>
      </c>
      <c r="U6" s="432" t="s">
        <v>252</v>
      </c>
      <c r="V6" s="431" t="s">
        <v>241</v>
      </c>
      <c r="W6" s="432" t="s">
        <v>235</v>
      </c>
      <c r="X6" s="432" t="s">
        <v>202</v>
      </c>
      <c r="Y6" s="432" t="s">
        <v>244</v>
      </c>
      <c r="Z6" s="431" t="s">
        <v>252</v>
      </c>
    </row>
    <row r="7" spans="1:28">
      <c r="A7" s="738" t="str">
        <f>IF(B7&lt;&gt;"",ROW()-(ROW()-1),"")</f>
        <v/>
      </c>
      <c r="B7" s="287"/>
      <c r="C7" s="25">
        <f>U7</f>
        <v>0</v>
      </c>
      <c r="D7" s="739">
        <f t="shared" ref="D7:I8" si="0">IF($L$10&lt;&gt;0,D$10/$L$10*$L7,0)</f>
        <v>0</v>
      </c>
      <c r="E7" s="739">
        <f t="shared" si="0"/>
        <v>0</v>
      </c>
      <c r="F7" s="739">
        <f t="shared" si="0"/>
        <v>0</v>
      </c>
      <c r="G7" s="739">
        <f t="shared" si="0"/>
        <v>0</v>
      </c>
      <c r="H7" s="739">
        <f t="shared" si="0"/>
        <v>0</v>
      </c>
      <c r="I7" s="739">
        <f t="shared" si="0"/>
        <v>0</v>
      </c>
      <c r="J7" s="348"/>
      <c r="K7" s="25">
        <f>C7+E7+D7+G7+I7+H7+J7</f>
        <v>0</v>
      </c>
      <c r="L7" s="739"/>
      <c r="M7" s="739" t="str">
        <f>IF(L7&lt;&gt;"",K7/L7,"")</f>
        <v/>
      </c>
      <c r="N7" s="753"/>
      <c r="O7" s="753"/>
      <c r="P7" s="437"/>
      <c r="Q7" s="754"/>
      <c r="R7" s="755"/>
      <c r="S7" s="292"/>
      <c r="T7" s="784"/>
      <c r="U7" s="25">
        <f>ROUND(S7*T7,0)</f>
        <v>0</v>
      </c>
      <c r="V7" s="437"/>
      <c r="W7" s="754"/>
      <c r="X7" s="784"/>
      <c r="Y7" s="784"/>
      <c r="Z7" s="25">
        <f>X7*Y7</f>
        <v>0</v>
      </c>
    </row>
    <row r="8" spans="1:28">
      <c r="A8" s="738" t="str">
        <f>IF(B8&lt;&gt;"",A7+1,"")</f>
        <v/>
      </c>
      <c r="B8" s="287"/>
      <c r="C8" s="25">
        <f t="shared" ref="C8" si="1">U8</f>
        <v>0</v>
      </c>
      <c r="D8" s="739">
        <f t="shared" si="0"/>
        <v>0</v>
      </c>
      <c r="E8" s="739">
        <f t="shared" si="0"/>
        <v>0</v>
      </c>
      <c r="F8" s="739">
        <f t="shared" si="0"/>
        <v>0</v>
      </c>
      <c r="G8" s="739">
        <f t="shared" si="0"/>
        <v>0</v>
      </c>
      <c r="H8" s="739">
        <f t="shared" si="0"/>
        <v>0</v>
      </c>
      <c r="I8" s="739">
        <f t="shared" si="0"/>
        <v>0</v>
      </c>
      <c r="J8" s="348"/>
      <c r="K8" s="25">
        <f>C8+E8+D8+G8+I8+H8+J8</f>
        <v>0</v>
      </c>
      <c r="L8" s="250"/>
      <c r="M8" s="739" t="str">
        <f>IF(L8&lt;&gt;"",K8/L8,"")</f>
        <v/>
      </c>
      <c r="N8" s="753"/>
      <c r="O8" s="753"/>
      <c r="P8" s="439"/>
      <c r="Q8" s="756"/>
      <c r="R8" s="757"/>
      <c r="S8" s="798"/>
      <c r="T8" s="782"/>
      <c r="U8" s="8">
        <f t="shared" ref="U8" si="2">ROUND(S8*T8,0)</f>
        <v>0</v>
      </c>
      <c r="V8" s="439"/>
      <c r="W8" s="756"/>
      <c r="X8" s="782"/>
      <c r="Y8" s="782"/>
      <c r="Z8" s="8">
        <f t="shared" ref="Z8" si="3">X8*Y8</f>
        <v>0</v>
      </c>
    </row>
    <row r="9" spans="1:28" s="760" customFormat="1">
      <c r="A9" s="738"/>
      <c r="B9" s="287"/>
      <c r="C9" s="25"/>
      <c r="D9" s="739"/>
      <c r="E9" s="739"/>
      <c r="F9" s="739"/>
      <c r="G9" s="739"/>
      <c r="H9" s="739"/>
      <c r="I9" s="739"/>
      <c r="J9" s="348"/>
      <c r="K9" s="25"/>
      <c r="L9" s="250"/>
      <c r="M9" s="739"/>
      <c r="N9" s="652"/>
      <c r="O9" s="652"/>
      <c r="P9" s="758"/>
      <c r="Q9" s="756"/>
      <c r="R9" s="759"/>
      <c r="S9" s="799"/>
      <c r="T9" s="783"/>
      <c r="U9" s="783"/>
      <c r="V9" s="758"/>
      <c r="W9" s="756"/>
      <c r="X9" s="783"/>
      <c r="Y9" s="783"/>
      <c r="Z9" s="8"/>
    </row>
    <row r="10" spans="1:28" s="735" customFormat="1">
      <c r="A10" s="740"/>
      <c r="B10" s="741" t="s">
        <v>253</v>
      </c>
      <c r="C10" s="521">
        <f>SUM(C7:C9)</f>
        <v>0</v>
      </c>
      <c r="D10" s="521"/>
      <c r="E10" s="521">
        <f>$Z$10</f>
        <v>0</v>
      </c>
      <c r="F10" s="521"/>
      <c r="G10" s="521"/>
      <c r="H10" s="521"/>
      <c r="I10" s="521"/>
      <c r="J10" s="440">
        <f>ROUND(SUM(J7:J9),0)</f>
        <v>0</v>
      </c>
      <c r="K10" s="521">
        <f>ROUND(SUM(K7:K9),0)</f>
        <v>0</v>
      </c>
      <c r="L10" s="521">
        <f>ROUND(SUM(L7:L9),0)</f>
        <v>0</v>
      </c>
      <c r="M10" s="521"/>
      <c r="N10" s="749"/>
      <c r="O10" s="749"/>
      <c r="P10" s="761"/>
      <c r="Q10" s="762"/>
      <c r="R10" s="763"/>
      <c r="S10" s="800">
        <f>SUM(S7:S9)</f>
        <v>0</v>
      </c>
      <c r="T10" s="45"/>
      <c r="U10" s="45">
        <f>SUM(U7:U9)</f>
        <v>0</v>
      </c>
      <c r="V10" s="761"/>
      <c r="W10" s="762"/>
      <c r="X10" s="774"/>
      <c r="Y10" s="27"/>
      <c r="Z10" s="45">
        <f>SUM(Z7:Z9)</f>
        <v>0</v>
      </c>
    </row>
    <row r="11" spans="1:28" s="735" customFormat="1">
      <c r="A11" s="742"/>
      <c r="B11" s="743"/>
      <c r="C11" s="736"/>
      <c r="D11" s="736"/>
      <c r="E11" s="736"/>
      <c r="F11" s="736"/>
      <c r="G11" s="736"/>
      <c r="H11" s="736"/>
      <c r="I11" s="736"/>
      <c r="J11" s="441"/>
      <c r="K11" s="736"/>
      <c r="L11" s="736"/>
      <c r="M11" s="736"/>
      <c r="N11" s="749"/>
      <c r="O11" s="749"/>
      <c r="P11" s="442"/>
      <c r="Q11" s="764"/>
      <c r="R11" s="765"/>
      <c r="S11" s="801"/>
      <c r="T11" s="752"/>
      <c r="U11" s="766"/>
      <c r="V11" s="442"/>
      <c r="W11" s="764"/>
      <c r="X11" s="752"/>
      <c r="Y11" s="752"/>
      <c r="Z11" s="734"/>
    </row>
    <row r="12" spans="1:28">
      <c r="C12" s="744"/>
      <c r="D12" s="744"/>
      <c r="E12" s="745"/>
      <c r="F12" s="745"/>
      <c r="K12" s="767"/>
      <c r="L12" s="736"/>
      <c r="P12" s="442"/>
      <c r="Q12" s="764"/>
      <c r="R12" s="765"/>
      <c r="S12" s="801"/>
      <c r="T12" s="752"/>
      <c r="U12" s="766"/>
      <c r="V12" s="442"/>
      <c r="W12" s="764"/>
      <c r="X12" s="752"/>
      <c r="Y12" s="752"/>
    </row>
    <row r="13" spans="1:28" ht="18" customHeight="1">
      <c r="A13" s="559" t="str">
        <f>TH!$A$1</f>
        <v>Đơn vị: CÔNG TY TNHH MỘT THÀNH VIÊN KHỞI NGUYÊN AN</v>
      </c>
      <c r="B13" s="735"/>
      <c r="C13" s="284"/>
      <c r="D13" s="284"/>
      <c r="E13" s="284"/>
      <c r="F13" s="284"/>
      <c r="G13" s="284"/>
      <c r="H13" s="284"/>
      <c r="I13" s="284"/>
      <c r="J13" s="427"/>
      <c r="K13" s="284"/>
      <c r="L13" s="587"/>
      <c r="M13" s="284"/>
      <c r="N13" s="749"/>
      <c r="O13" s="749"/>
      <c r="P13" s="442"/>
      <c r="Q13" s="764"/>
      <c r="R13" s="765"/>
      <c r="S13" s="801"/>
      <c r="T13" s="752"/>
      <c r="U13" s="766"/>
      <c r="V13" s="442"/>
      <c r="W13" s="764"/>
      <c r="X13" s="752"/>
      <c r="Y13" s="752"/>
      <c r="AA13" s="744"/>
    </row>
    <row r="14" spans="1:28" ht="18.75" customHeight="1">
      <c r="A14" s="736" t="s">
        <v>448</v>
      </c>
      <c r="B14" s="736"/>
      <c r="C14" s="736"/>
      <c r="D14" s="736"/>
      <c r="E14" s="736"/>
      <c r="F14" s="736"/>
      <c r="G14" s="736"/>
      <c r="H14" s="736"/>
      <c r="I14" s="736"/>
      <c r="J14" s="428"/>
      <c r="K14" s="736"/>
      <c r="L14" s="736"/>
      <c r="M14" s="736"/>
      <c r="N14" s="749"/>
      <c r="O14" s="749"/>
      <c r="P14" s="442"/>
      <c r="Q14" s="764"/>
      <c r="R14" s="765"/>
      <c r="S14" s="801"/>
      <c r="T14" s="752"/>
      <c r="U14" s="766"/>
      <c r="V14" s="442"/>
      <c r="W14" s="764"/>
      <c r="X14" s="752"/>
      <c r="Y14" s="752"/>
    </row>
    <row r="15" spans="1:28" ht="18.75" hidden="1" customHeight="1">
      <c r="A15" s="736"/>
      <c r="B15" s="737"/>
      <c r="C15" s="737"/>
      <c r="D15" s="737"/>
      <c r="E15" s="737"/>
      <c r="F15" s="737"/>
      <c r="G15" s="737"/>
      <c r="H15" s="737"/>
      <c r="I15" s="736"/>
      <c r="J15" s="429"/>
      <c r="K15" s="737"/>
      <c r="L15" s="750"/>
      <c r="M15" s="737"/>
      <c r="N15" s="749"/>
      <c r="O15" s="749"/>
      <c r="P15" s="442"/>
      <c r="Q15" s="764"/>
      <c r="R15" s="765"/>
      <c r="S15" s="801"/>
      <c r="T15" s="752"/>
      <c r="U15" s="766"/>
      <c r="V15" s="442"/>
      <c r="W15" s="764"/>
      <c r="X15" s="752"/>
      <c r="Y15" s="752"/>
    </row>
    <row r="16" spans="1:28" ht="12.75" hidden="1" customHeight="1">
      <c r="A16" s="788"/>
      <c r="B16" s="781"/>
      <c r="C16" s="781"/>
      <c r="D16" s="781"/>
      <c r="E16" s="781"/>
      <c r="F16" s="781"/>
      <c r="G16" s="781"/>
      <c r="H16" s="781"/>
      <c r="I16" s="781"/>
      <c r="J16" s="430"/>
      <c r="K16" s="781"/>
      <c r="L16" s="751"/>
      <c r="M16" s="781"/>
      <c r="N16" s="749"/>
      <c r="O16" s="749"/>
      <c r="P16" s="442"/>
      <c r="Q16" s="764"/>
      <c r="R16" s="765"/>
      <c r="S16" s="801"/>
      <c r="T16" s="752"/>
      <c r="U16" s="766"/>
      <c r="V16" s="442"/>
      <c r="W16" s="764"/>
      <c r="X16" s="752"/>
      <c r="Y16" s="752"/>
    </row>
    <row r="17" spans="1:26" s="436" customFormat="1" ht="30.75" customHeight="1">
      <c r="A17" s="806" t="s">
        <v>35</v>
      </c>
      <c r="B17" s="431" t="s">
        <v>241</v>
      </c>
      <c r="C17" s="432" t="s">
        <v>245</v>
      </c>
      <c r="D17" s="432" t="s">
        <v>456</v>
      </c>
      <c r="E17" s="432" t="s">
        <v>246</v>
      </c>
      <c r="F17" s="432" t="s">
        <v>446</v>
      </c>
      <c r="G17" s="432" t="s">
        <v>247</v>
      </c>
      <c r="H17" s="433" t="s">
        <v>248</v>
      </c>
      <c r="I17" s="432" t="s">
        <v>445</v>
      </c>
      <c r="J17" s="433" t="s">
        <v>249</v>
      </c>
      <c r="K17" s="432" t="s">
        <v>250</v>
      </c>
      <c r="L17" s="434" t="s">
        <v>243</v>
      </c>
      <c r="M17" s="432" t="s">
        <v>251</v>
      </c>
      <c r="N17" s="435"/>
      <c r="O17" s="435"/>
      <c r="P17" s="431" t="s">
        <v>241</v>
      </c>
      <c r="Q17" s="432" t="s">
        <v>235</v>
      </c>
      <c r="R17" s="730"/>
      <c r="S17" s="797" t="s">
        <v>202</v>
      </c>
      <c r="T17" s="432" t="s">
        <v>244</v>
      </c>
      <c r="U17" s="432" t="s">
        <v>252</v>
      </c>
      <c r="V17" s="431" t="s">
        <v>241</v>
      </c>
      <c r="W17" s="432" t="s">
        <v>235</v>
      </c>
      <c r="X17" s="432" t="s">
        <v>202</v>
      </c>
      <c r="Y17" s="432" t="s">
        <v>244</v>
      </c>
      <c r="Z17" s="431" t="s">
        <v>252</v>
      </c>
    </row>
    <row r="18" spans="1:26">
      <c r="A18" s="807">
        <f>IF(B18&lt;&gt;"",ROW()-17,"")</f>
        <v>1</v>
      </c>
      <c r="B18" s="805" t="s">
        <v>485</v>
      </c>
      <c r="C18" s="779">
        <f>U18</f>
        <v>1613276</v>
      </c>
      <c r="D18" s="779">
        <f t="shared" ref="D18:I27" si="4">IF($L$149&lt;&gt;0,D$149/$L$149*$L18,0)</f>
        <v>65352.511074344882</v>
      </c>
      <c r="E18" s="779">
        <f t="shared" si="4"/>
        <v>16292.362704808667</v>
      </c>
      <c r="F18" s="776">
        <f t="shared" si="4"/>
        <v>75630.03682553237</v>
      </c>
      <c r="G18" s="776">
        <f t="shared" si="4"/>
        <v>8697.6634466563482</v>
      </c>
      <c r="H18" s="776">
        <f t="shared" si="4"/>
        <v>3922.7197523616373</v>
      </c>
      <c r="I18" s="779">
        <f t="shared" si="4"/>
        <v>16553.066659550623</v>
      </c>
      <c r="J18" s="777"/>
      <c r="K18" s="779">
        <f>ROUND(SUM(C18:I18),0)-1</f>
        <v>1799723</v>
      </c>
      <c r="L18" s="779">
        <v>98</v>
      </c>
      <c r="M18" s="776">
        <f>IF(L18&lt;&gt;"",K18/L18,"")</f>
        <v>18364.520408163266</v>
      </c>
      <c r="N18" s="652">
        <v>18940</v>
      </c>
      <c r="O18" s="652"/>
      <c r="P18" s="185" t="s">
        <v>390</v>
      </c>
      <c r="Q18" s="756">
        <v>40690</v>
      </c>
      <c r="R18" s="755"/>
      <c r="S18" s="292">
        <v>98</v>
      </c>
      <c r="T18" s="784">
        <v>16462</v>
      </c>
      <c r="U18" s="25">
        <f>S18*T18</f>
        <v>1613276</v>
      </c>
      <c r="V18" s="437" t="s">
        <v>373</v>
      </c>
      <c r="W18" s="754">
        <v>40644</v>
      </c>
      <c r="X18" s="784">
        <v>50</v>
      </c>
      <c r="Y18" s="784">
        <v>23500</v>
      </c>
      <c r="Z18" s="25">
        <f>X18*Y18</f>
        <v>1175000</v>
      </c>
    </row>
    <row r="19" spans="1:26">
      <c r="A19" s="789">
        <f>IF(B19&lt;&gt;"",A18+1,"")</f>
        <v>2</v>
      </c>
      <c r="B19" s="288" t="s">
        <v>486</v>
      </c>
      <c r="C19" s="804">
        <f t="shared" ref="C19:C82" si="5">U19</f>
        <v>2189250</v>
      </c>
      <c r="D19" s="520">
        <f t="shared" si="4"/>
        <v>118034.63734856168</v>
      </c>
      <c r="E19" s="520">
        <f t="shared" si="4"/>
        <v>29426.002028072795</v>
      </c>
      <c r="F19" s="520">
        <f t="shared" si="4"/>
        <v>136597.10732774725</v>
      </c>
      <c r="G19" s="520">
        <f t="shared" si="4"/>
        <v>15709.045204675242</v>
      </c>
      <c r="H19" s="520">
        <f t="shared" si="4"/>
        <v>7084.9122057960185</v>
      </c>
      <c r="I19" s="520">
        <f t="shared" si="4"/>
        <v>29896.865293269999</v>
      </c>
      <c r="J19" s="790"/>
      <c r="K19" s="779">
        <f t="shared" ref="K19:K26" si="6">ROUND(SUM(C19:I19),0)-1</f>
        <v>2525998</v>
      </c>
      <c r="L19" s="520">
        <v>177</v>
      </c>
      <c r="M19" s="520">
        <f t="shared" ref="M19:M20" si="7">IF(L19&lt;&gt;"",K19/L19,"")</f>
        <v>14271.175141242938</v>
      </c>
      <c r="N19" s="652">
        <v>15550</v>
      </c>
      <c r="O19" s="652"/>
      <c r="P19" s="185" t="s">
        <v>375</v>
      </c>
      <c r="Q19" s="756">
        <v>40690</v>
      </c>
      <c r="R19" s="755"/>
      <c r="S19" s="292">
        <v>90</v>
      </c>
      <c r="T19" s="784">
        <v>24325</v>
      </c>
      <c r="U19" s="25">
        <f t="shared" ref="U19" si="8">S19*T19</f>
        <v>2189250</v>
      </c>
      <c r="V19" s="439" t="s">
        <v>349</v>
      </c>
      <c r="W19" s="756">
        <v>40644</v>
      </c>
      <c r="X19" s="782">
        <v>20</v>
      </c>
      <c r="Y19" s="782">
        <v>42000</v>
      </c>
      <c r="Z19" s="8">
        <f t="shared" ref="Z19" si="9">X19*Y19</f>
        <v>840000</v>
      </c>
    </row>
    <row r="20" spans="1:26">
      <c r="A20" s="778">
        <f>IF(B20&lt;&gt;"",A19+1,"")</f>
        <v>3</v>
      </c>
      <c r="B20" s="287" t="s">
        <v>487</v>
      </c>
      <c r="C20" s="804">
        <f t="shared" si="5"/>
        <v>3370125</v>
      </c>
      <c r="D20" s="250">
        <f t="shared" si="4"/>
        <v>136706.78336980307</v>
      </c>
      <c r="E20" s="250">
        <f t="shared" si="4"/>
        <v>34080.96280087527</v>
      </c>
      <c r="F20" s="250">
        <f t="shared" si="4"/>
        <v>158205.68927789934</v>
      </c>
      <c r="G20" s="250">
        <f t="shared" si="4"/>
        <v>18194.091903719913</v>
      </c>
      <c r="H20" s="250">
        <f t="shared" si="4"/>
        <v>8205.6892778993424</v>
      </c>
      <c r="I20" s="250">
        <f t="shared" si="4"/>
        <v>34626.312910284461</v>
      </c>
      <c r="J20" s="438"/>
      <c r="K20" s="779">
        <f t="shared" si="6"/>
        <v>3760144</v>
      </c>
      <c r="L20" s="250">
        <v>205</v>
      </c>
      <c r="M20" s="250">
        <f t="shared" si="7"/>
        <v>18342.165853658538</v>
      </c>
      <c r="N20" s="652">
        <v>19690</v>
      </c>
      <c r="O20" s="652"/>
      <c r="P20" s="287" t="s">
        <v>383</v>
      </c>
      <c r="Q20" s="756">
        <v>40690</v>
      </c>
      <c r="R20" s="755"/>
      <c r="S20" s="802">
        <v>209</v>
      </c>
      <c r="T20" s="249">
        <v>16125</v>
      </c>
      <c r="U20" s="8">
        <f t="shared" ref="U20" si="10">S20*T20</f>
        <v>3370125</v>
      </c>
      <c r="V20" s="439" t="s">
        <v>380</v>
      </c>
      <c r="W20" s="756">
        <v>40660</v>
      </c>
      <c r="X20" s="782">
        <v>5000</v>
      </c>
      <c r="Y20" s="782">
        <v>220</v>
      </c>
      <c r="Z20" s="8">
        <f t="shared" ref="Z20:Z21" si="11">X20*Y20</f>
        <v>1100000</v>
      </c>
    </row>
    <row r="21" spans="1:26">
      <c r="A21" s="778">
        <f t="shared" ref="A21:A22" si="12">IF(B21&lt;&gt;"",A20+1,"")</f>
        <v>4</v>
      </c>
      <c r="B21" s="287" t="s">
        <v>493</v>
      </c>
      <c r="C21" s="804">
        <f t="shared" si="5"/>
        <v>2056844</v>
      </c>
      <c r="D21" s="250">
        <f t="shared" si="4"/>
        <v>188722.04728611838</v>
      </c>
      <c r="E21" s="250">
        <f t="shared" si="4"/>
        <v>47048.353525110746</v>
      </c>
      <c r="F21" s="250">
        <f t="shared" si="4"/>
        <v>218401.02471046592</v>
      </c>
      <c r="G21" s="250">
        <f t="shared" si="4"/>
        <v>25116.72199391578</v>
      </c>
      <c r="H21" s="250">
        <f t="shared" si="4"/>
        <v>11327.853978758605</v>
      </c>
      <c r="I21" s="250">
        <f t="shared" si="4"/>
        <v>47801.202700539041</v>
      </c>
      <c r="J21" s="438"/>
      <c r="K21" s="779">
        <f t="shared" si="6"/>
        <v>2595260</v>
      </c>
      <c r="L21" s="250">
        <v>283</v>
      </c>
      <c r="M21" s="250">
        <f t="shared" ref="M21:M22" si="13">IF(L21&lt;&gt;"",K21/L21,"")</f>
        <v>9170.5300353356888</v>
      </c>
      <c r="N21" s="652">
        <v>9760</v>
      </c>
      <c r="O21" s="652"/>
      <c r="P21" s="185" t="s">
        <v>401</v>
      </c>
      <c r="Q21" s="756">
        <v>40690</v>
      </c>
      <c r="R21" s="755"/>
      <c r="S21" s="292">
        <f>L21</f>
        <v>283</v>
      </c>
      <c r="T21" s="251">
        <v>7268</v>
      </c>
      <c r="U21" s="8">
        <f t="shared" ref="U21:U22" si="14">S21*T21</f>
        <v>2056844</v>
      </c>
      <c r="V21" s="439"/>
      <c r="W21" s="756"/>
      <c r="X21" s="782"/>
      <c r="Y21" s="782"/>
      <c r="Z21" s="8">
        <f t="shared" si="11"/>
        <v>0</v>
      </c>
    </row>
    <row r="22" spans="1:26">
      <c r="A22" s="778">
        <f t="shared" si="12"/>
        <v>5</v>
      </c>
      <c r="B22" s="287" t="s">
        <v>488</v>
      </c>
      <c r="C22" s="804">
        <f t="shared" si="5"/>
        <v>2772328</v>
      </c>
      <c r="D22" s="250">
        <f t="shared" si="4"/>
        <v>328763.14244542882</v>
      </c>
      <c r="E22" s="250">
        <f t="shared" si="4"/>
        <v>81960.559321129316</v>
      </c>
      <c r="F22" s="250">
        <f t="shared" si="4"/>
        <v>380465.38933660672</v>
      </c>
      <c r="G22" s="250">
        <f t="shared" si="4"/>
        <v>43754.572236750813</v>
      </c>
      <c r="H22" s="250">
        <f t="shared" si="4"/>
        <v>19733.682019533542</v>
      </c>
      <c r="I22" s="250">
        <f t="shared" si="4"/>
        <v>83272.05982814751</v>
      </c>
      <c r="J22" s="438"/>
      <c r="K22" s="779">
        <f t="shared" si="6"/>
        <v>3710276</v>
      </c>
      <c r="L22" s="250">
        <v>493</v>
      </c>
      <c r="M22" s="250">
        <f t="shared" si="13"/>
        <v>7525.9148073022316</v>
      </c>
      <c r="N22" s="652">
        <v>7160</v>
      </c>
      <c r="O22" s="652"/>
      <c r="P22" s="185" t="s">
        <v>393</v>
      </c>
      <c r="Q22" s="756">
        <v>40690</v>
      </c>
      <c r="R22" s="755"/>
      <c r="S22" s="802">
        <v>494</v>
      </c>
      <c r="T22" s="251">
        <v>5612</v>
      </c>
      <c r="U22" s="8">
        <f t="shared" si="14"/>
        <v>2772328</v>
      </c>
      <c r="V22" s="439"/>
      <c r="W22" s="756"/>
      <c r="X22" s="782"/>
      <c r="Y22" s="782"/>
      <c r="Z22" s="8">
        <f t="shared" ref="Z22" si="15">X22*Y22</f>
        <v>0</v>
      </c>
    </row>
    <row r="23" spans="1:26">
      <c r="A23" s="738">
        <f t="shared" ref="A23:A52" si="16">IF(B23&lt;&gt;"",A22+1,"")</f>
        <v>6</v>
      </c>
      <c r="B23" s="287" t="s">
        <v>489</v>
      </c>
      <c r="C23" s="804">
        <f t="shared" si="5"/>
        <v>2320738</v>
      </c>
      <c r="D23" s="739">
        <f t="shared" si="4"/>
        <v>265411.21844478842</v>
      </c>
      <c r="E23" s="739">
        <f t="shared" si="4"/>
        <v>66166.942413406621</v>
      </c>
      <c r="F23" s="739">
        <f t="shared" si="4"/>
        <v>307150.55772001919</v>
      </c>
      <c r="G23" s="739">
        <f t="shared" si="4"/>
        <v>35323.163793563537</v>
      </c>
      <c r="H23" s="739">
        <f t="shared" si="4"/>
        <v>15931.045524897261</v>
      </c>
      <c r="I23" s="739">
        <f t="shared" si="4"/>
        <v>67225.719698991306</v>
      </c>
      <c r="J23" s="348"/>
      <c r="K23" s="779">
        <f t="shared" si="6"/>
        <v>3077946</v>
      </c>
      <c r="L23" s="739">
        <v>398</v>
      </c>
      <c r="M23" s="739">
        <f t="shared" ref="M23:M54" si="17">IF(L23&lt;&gt;"",K23/L23,"")</f>
        <v>7733.5326633165832</v>
      </c>
      <c r="N23" s="652">
        <v>7360</v>
      </c>
      <c r="O23" s="652"/>
      <c r="P23" s="185" t="s">
        <v>394</v>
      </c>
      <c r="Q23" s="756">
        <v>40690</v>
      </c>
      <c r="R23" s="755"/>
      <c r="S23" s="802">
        <f>L23</f>
        <v>398</v>
      </c>
      <c r="T23" s="251">
        <v>5831</v>
      </c>
      <c r="U23" s="8">
        <f t="shared" ref="U23:U61" si="18">S23*T23</f>
        <v>2320738</v>
      </c>
      <c r="V23" s="439"/>
      <c r="W23" s="756"/>
      <c r="X23" s="782"/>
      <c r="Y23" s="782"/>
      <c r="Z23" s="8">
        <f t="shared" ref="Z23:Z54" si="19">X23*Y23</f>
        <v>0</v>
      </c>
    </row>
    <row r="24" spans="1:26">
      <c r="A24" s="738">
        <f t="shared" si="16"/>
        <v>7</v>
      </c>
      <c r="B24" s="287" t="s">
        <v>490</v>
      </c>
      <c r="C24" s="804">
        <f t="shared" si="5"/>
        <v>1212200</v>
      </c>
      <c r="D24" s="739">
        <f t="shared" si="4"/>
        <v>65352.511074344882</v>
      </c>
      <c r="E24" s="739">
        <f t="shared" si="4"/>
        <v>16292.362704808667</v>
      </c>
      <c r="F24" s="739">
        <f t="shared" si="4"/>
        <v>75630.03682553237</v>
      </c>
      <c r="G24" s="739">
        <f t="shared" si="4"/>
        <v>8697.6634466563482</v>
      </c>
      <c r="H24" s="739">
        <f t="shared" si="4"/>
        <v>3922.7197523616373</v>
      </c>
      <c r="I24" s="739">
        <f t="shared" si="4"/>
        <v>16553.066659550623</v>
      </c>
      <c r="J24" s="348"/>
      <c r="K24" s="779">
        <f t="shared" si="6"/>
        <v>1398647</v>
      </c>
      <c r="L24" s="739">
        <v>98</v>
      </c>
      <c r="M24" s="739">
        <f t="shared" si="17"/>
        <v>14271.908163265307</v>
      </c>
      <c r="N24" s="652">
        <v>15400</v>
      </c>
      <c r="O24" s="652"/>
      <c r="P24" s="185" t="s">
        <v>396</v>
      </c>
      <c r="Q24" s="756">
        <v>40690</v>
      </c>
      <c r="R24" s="755"/>
      <c r="S24" s="292">
        <v>100</v>
      </c>
      <c r="T24" s="251">
        <v>12122</v>
      </c>
      <c r="U24" s="8">
        <f t="shared" si="18"/>
        <v>1212200</v>
      </c>
      <c r="V24" s="439"/>
      <c r="W24" s="756"/>
      <c r="X24" s="782"/>
      <c r="Y24" s="782"/>
      <c r="Z24" s="8">
        <f t="shared" si="19"/>
        <v>0</v>
      </c>
    </row>
    <row r="25" spans="1:26">
      <c r="A25" s="738">
        <f t="shared" si="16"/>
        <v>8</v>
      </c>
      <c r="B25" s="287" t="s">
        <v>491</v>
      </c>
      <c r="C25" s="804">
        <f t="shared" si="5"/>
        <v>3042375</v>
      </c>
      <c r="D25" s="739">
        <f t="shared" si="4"/>
        <v>127370.71035918237</v>
      </c>
      <c r="E25" s="739">
        <f t="shared" si="4"/>
        <v>31753.482414474034</v>
      </c>
      <c r="F25" s="739">
        <f t="shared" si="4"/>
        <v>147401.39830282331</v>
      </c>
      <c r="G25" s="739">
        <f t="shared" si="4"/>
        <v>16951.568554197576</v>
      </c>
      <c r="H25" s="739">
        <f t="shared" si="4"/>
        <v>7645.3007418476809</v>
      </c>
      <c r="I25" s="739">
        <f t="shared" si="4"/>
        <v>32261.58910177723</v>
      </c>
      <c r="J25" s="348"/>
      <c r="K25" s="779">
        <f t="shared" si="6"/>
        <v>3405758</v>
      </c>
      <c r="L25" s="739">
        <v>191</v>
      </c>
      <c r="M25" s="739">
        <f t="shared" si="17"/>
        <v>17831.193717277485</v>
      </c>
      <c r="N25" s="652">
        <v>18480</v>
      </c>
      <c r="O25" s="652"/>
      <c r="P25" s="185" t="s">
        <v>386</v>
      </c>
      <c r="Q25" s="756">
        <v>40690</v>
      </c>
      <c r="R25" s="755"/>
      <c r="S25" s="802">
        <v>95</v>
      </c>
      <c r="T25" s="251">
        <v>32025</v>
      </c>
      <c r="U25" s="8">
        <f t="shared" si="18"/>
        <v>3042375</v>
      </c>
      <c r="V25" s="439"/>
      <c r="W25" s="756"/>
      <c r="X25" s="782"/>
      <c r="Y25" s="782"/>
      <c r="Z25" s="8">
        <f t="shared" si="19"/>
        <v>0</v>
      </c>
    </row>
    <row r="26" spans="1:26">
      <c r="A26" s="738">
        <f t="shared" si="16"/>
        <v>9</v>
      </c>
      <c r="B26" s="287" t="s">
        <v>492</v>
      </c>
      <c r="C26" s="804">
        <f t="shared" si="5"/>
        <v>2780588</v>
      </c>
      <c r="D26" s="739">
        <f t="shared" si="4"/>
        <v>137373.64572770454</v>
      </c>
      <c r="E26" s="739">
        <f t="shared" si="4"/>
        <v>34247.211399903936</v>
      </c>
      <c r="F26" s="739">
        <f t="shared" si="4"/>
        <v>158977.42434754764</v>
      </c>
      <c r="G26" s="739">
        <f t="shared" si="4"/>
        <v>18282.843571542937</v>
      </c>
      <c r="H26" s="739">
        <f t="shared" si="4"/>
        <v>8245.7170304744614</v>
      </c>
      <c r="I26" s="739">
        <f t="shared" si="4"/>
        <v>34795.221753749269</v>
      </c>
      <c r="J26" s="348"/>
      <c r="K26" s="779">
        <f t="shared" si="6"/>
        <v>3172509</v>
      </c>
      <c r="L26" s="739">
        <v>206</v>
      </c>
      <c r="M26" s="739">
        <f t="shared" si="17"/>
        <v>15400.529126213592</v>
      </c>
      <c r="N26" s="652">
        <v>15230</v>
      </c>
      <c r="O26" s="652"/>
      <c r="P26" s="185" t="s">
        <v>392</v>
      </c>
      <c r="Q26" s="756">
        <v>40690</v>
      </c>
      <c r="R26" s="755"/>
      <c r="S26" s="292">
        <f>L26</f>
        <v>206</v>
      </c>
      <c r="T26" s="251">
        <v>13498</v>
      </c>
      <c r="U26" s="8">
        <f t="shared" si="18"/>
        <v>2780588</v>
      </c>
      <c r="V26" s="439"/>
      <c r="W26" s="756"/>
      <c r="X26" s="782"/>
      <c r="Y26" s="782"/>
      <c r="Z26" s="8">
        <f t="shared" si="19"/>
        <v>0</v>
      </c>
    </row>
    <row r="27" spans="1:26">
      <c r="A27" s="738">
        <f t="shared" si="16"/>
        <v>10</v>
      </c>
      <c r="B27" s="287" t="s">
        <v>494</v>
      </c>
      <c r="C27" s="804">
        <f t="shared" si="5"/>
        <v>541500</v>
      </c>
      <c r="D27" s="739">
        <f t="shared" si="4"/>
        <v>33343.117895073919</v>
      </c>
      <c r="E27" s="739">
        <f t="shared" si="4"/>
        <v>8312.4299514329941</v>
      </c>
      <c r="F27" s="739">
        <f t="shared" si="4"/>
        <v>38586.753482414475</v>
      </c>
      <c r="G27" s="739">
        <f t="shared" si="4"/>
        <v>4437.5833911511982</v>
      </c>
      <c r="H27" s="739">
        <f t="shared" si="4"/>
        <v>2001.3876287559374</v>
      </c>
      <c r="I27" s="739">
        <f t="shared" si="4"/>
        <v>8445.4421732401133</v>
      </c>
      <c r="J27" s="348"/>
      <c r="K27" s="779">
        <f>ROUND(SUM(C27:I27),0)-1</f>
        <v>636626</v>
      </c>
      <c r="L27" s="739">
        <v>50</v>
      </c>
      <c r="M27" s="739">
        <f t="shared" si="17"/>
        <v>12732.52</v>
      </c>
      <c r="N27" s="652">
        <v>13832</v>
      </c>
      <c r="O27" s="652"/>
      <c r="P27" s="185" t="s">
        <v>374</v>
      </c>
      <c r="Q27" s="756">
        <v>40690</v>
      </c>
      <c r="R27" s="755"/>
      <c r="S27" s="292">
        <v>50</v>
      </c>
      <c r="T27" s="249">
        <v>10830</v>
      </c>
      <c r="U27" s="8">
        <f t="shared" si="18"/>
        <v>541500</v>
      </c>
      <c r="V27" s="439"/>
      <c r="W27" s="756"/>
      <c r="X27" s="782"/>
      <c r="Y27" s="782"/>
      <c r="Z27" s="8">
        <f t="shared" si="19"/>
        <v>0</v>
      </c>
    </row>
    <row r="28" spans="1:26">
      <c r="A28" s="738">
        <f t="shared" si="16"/>
        <v>11</v>
      </c>
      <c r="B28" s="287" t="s">
        <v>439</v>
      </c>
      <c r="C28" s="804">
        <f t="shared" si="5"/>
        <v>333675</v>
      </c>
      <c r="D28" s="739">
        <f t="shared" ref="D28:I37" si="20">IF($L$149&lt;&gt;0,D$149/$L$149*$L28,0)</f>
        <v>200058.7073704435</v>
      </c>
      <c r="E28" s="739">
        <f t="shared" si="20"/>
        <v>49874.579708597958</v>
      </c>
      <c r="F28" s="739">
        <f t="shared" si="20"/>
        <v>231520.52089448684</v>
      </c>
      <c r="G28" s="739">
        <f t="shared" si="20"/>
        <v>26625.500346907189</v>
      </c>
      <c r="H28" s="739">
        <f t="shared" si="20"/>
        <v>12008.325772535623</v>
      </c>
      <c r="I28" s="739">
        <f t="shared" si="20"/>
        <v>50672.65303944068</v>
      </c>
      <c r="J28" s="348"/>
      <c r="K28" s="779">
        <f t="shared" ref="K28:K82" si="21">ROUND(SUM(C28:I28),0)</f>
        <v>904435</v>
      </c>
      <c r="L28" s="739">
        <v>300</v>
      </c>
      <c r="M28" s="739">
        <f t="shared" si="17"/>
        <v>3014.7833333333333</v>
      </c>
      <c r="N28" s="652">
        <v>3500</v>
      </c>
      <c r="O28" s="652"/>
      <c r="P28" s="185" t="s">
        <v>372</v>
      </c>
      <c r="Q28" s="756">
        <v>40690</v>
      </c>
      <c r="R28" s="755"/>
      <c r="S28" s="292">
        <f>L28/4</f>
        <v>75</v>
      </c>
      <c r="T28" s="251">
        <v>4449</v>
      </c>
      <c r="U28" s="8">
        <f t="shared" si="18"/>
        <v>333675</v>
      </c>
      <c r="V28" s="439"/>
      <c r="W28" s="756"/>
      <c r="X28" s="782"/>
      <c r="Y28" s="782"/>
      <c r="Z28" s="8">
        <f t="shared" si="19"/>
        <v>0</v>
      </c>
    </row>
    <row r="29" spans="1:26">
      <c r="A29" s="738">
        <f t="shared" si="16"/>
        <v>12</v>
      </c>
      <c r="B29" s="287" t="s">
        <v>495</v>
      </c>
      <c r="C29" s="804">
        <f t="shared" si="5"/>
        <v>112875</v>
      </c>
      <c r="D29" s="739">
        <f t="shared" si="20"/>
        <v>4668.0365053103487</v>
      </c>
      <c r="E29" s="739">
        <f t="shared" si="20"/>
        <v>1163.7401932006192</v>
      </c>
      <c r="F29" s="739">
        <f t="shared" si="20"/>
        <v>5402.1454875380259</v>
      </c>
      <c r="G29" s="739">
        <f t="shared" si="20"/>
        <v>621.2616747611678</v>
      </c>
      <c r="H29" s="739">
        <f t="shared" si="20"/>
        <v>280.19426802583121</v>
      </c>
      <c r="I29" s="739">
        <f t="shared" si="20"/>
        <v>1182.3619042536159</v>
      </c>
      <c r="J29" s="348"/>
      <c r="K29" s="779">
        <f t="shared" si="21"/>
        <v>126193</v>
      </c>
      <c r="L29" s="739">
        <v>7</v>
      </c>
      <c r="M29" s="739">
        <f t="shared" si="17"/>
        <v>18027.571428571428</v>
      </c>
      <c r="N29" s="652">
        <v>19908</v>
      </c>
      <c r="O29" s="652"/>
      <c r="P29" s="287" t="s">
        <v>383</v>
      </c>
      <c r="Q29" s="756">
        <v>40690</v>
      </c>
      <c r="R29" s="755"/>
      <c r="S29" s="802">
        <f t="shared" ref="S29:S30" si="22">L29</f>
        <v>7</v>
      </c>
      <c r="T29" s="249">
        <v>16125</v>
      </c>
      <c r="U29" s="8">
        <f t="shared" si="18"/>
        <v>112875</v>
      </c>
      <c r="V29" s="439"/>
      <c r="W29" s="756"/>
      <c r="X29" s="782"/>
      <c r="Y29" s="782"/>
      <c r="Z29" s="8">
        <f t="shared" si="19"/>
        <v>0</v>
      </c>
    </row>
    <row r="30" spans="1:26">
      <c r="A30" s="738">
        <f t="shared" si="16"/>
        <v>13</v>
      </c>
      <c r="B30" s="287" t="s">
        <v>496</v>
      </c>
      <c r="C30" s="804">
        <f t="shared" si="5"/>
        <v>112875</v>
      </c>
      <c r="D30" s="739">
        <f t="shared" si="20"/>
        <v>4668.0365053103487</v>
      </c>
      <c r="E30" s="739">
        <f t="shared" si="20"/>
        <v>1163.7401932006192</v>
      </c>
      <c r="F30" s="739">
        <f t="shared" si="20"/>
        <v>5402.1454875380259</v>
      </c>
      <c r="G30" s="739">
        <f t="shared" si="20"/>
        <v>621.2616747611678</v>
      </c>
      <c r="H30" s="739">
        <f t="shared" si="20"/>
        <v>280.19426802583121</v>
      </c>
      <c r="I30" s="739">
        <f t="shared" si="20"/>
        <v>1182.3619042536159</v>
      </c>
      <c r="J30" s="348"/>
      <c r="K30" s="779">
        <f t="shared" si="21"/>
        <v>126193</v>
      </c>
      <c r="L30" s="739">
        <v>7</v>
      </c>
      <c r="M30" s="739">
        <f t="shared" si="17"/>
        <v>18027.571428571428</v>
      </c>
      <c r="N30" s="652">
        <v>19285</v>
      </c>
      <c r="O30" s="652"/>
      <c r="P30" s="287" t="s">
        <v>383</v>
      </c>
      <c r="Q30" s="756">
        <v>40690</v>
      </c>
      <c r="R30" s="755"/>
      <c r="S30" s="802">
        <f t="shared" si="22"/>
        <v>7</v>
      </c>
      <c r="T30" s="249">
        <v>16125</v>
      </c>
      <c r="U30" s="8">
        <f t="shared" si="18"/>
        <v>112875</v>
      </c>
      <c r="V30" s="439"/>
      <c r="W30" s="756"/>
      <c r="X30" s="782"/>
      <c r="Y30" s="782"/>
      <c r="Z30" s="8">
        <f t="shared" si="19"/>
        <v>0</v>
      </c>
    </row>
    <row r="31" spans="1:26">
      <c r="A31" s="738">
        <f t="shared" si="16"/>
        <v>14</v>
      </c>
      <c r="B31" s="287" t="s">
        <v>494</v>
      </c>
      <c r="C31" s="804">
        <f t="shared" si="5"/>
        <v>2896750</v>
      </c>
      <c r="D31" s="739">
        <f t="shared" si="20"/>
        <v>166715.5894753696</v>
      </c>
      <c r="E31" s="739">
        <f t="shared" si="20"/>
        <v>41562.149757164967</v>
      </c>
      <c r="F31" s="739">
        <f t="shared" si="20"/>
        <v>192933.76741207237</v>
      </c>
      <c r="G31" s="739">
        <f t="shared" si="20"/>
        <v>22187.916955755991</v>
      </c>
      <c r="H31" s="739">
        <f t="shared" si="20"/>
        <v>10006.938143779687</v>
      </c>
      <c r="I31" s="739">
        <f t="shared" si="20"/>
        <v>42227.210866200563</v>
      </c>
      <c r="J31" s="348"/>
      <c r="K31" s="779">
        <f t="shared" si="21"/>
        <v>3372384</v>
      </c>
      <c r="L31" s="739">
        <v>250</v>
      </c>
      <c r="M31" s="739">
        <f t="shared" si="17"/>
        <v>13489.536</v>
      </c>
      <c r="N31" s="652">
        <v>13832</v>
      </c>
      <c r="O31" s="652"/>
      <c r="P31" s="185" t="s">
        <v>391</v>
      </c>
      <c r="Q31" s="756">
        <v>40690</v>
      </c>
      <c r="R31" s="755"/>
      <c r="S31" s="292">
        <f>L31</f>
        <v>250</v>
      </c>
      <c r="T31" s="249">
        <v>11587</v>
      </c>
      <c r="U31" s="8">
        <f t="shared" si="18"/>
        <v>2896750</v>
      </c>
      <c r="V31" s="439"/>
      <c r="W31" s="756"/>
      <c r="X31" s="782"/>
      <c r="Y31" s="782"/>
      <c r="Z31" s="8">
        <f t="shared" si="19"/>
        <v>0</v>
      </c>
    </row>
    <row r="32" spans="1:26">
      <c r="A32" s="738">
        <f t="shared" si="16"/>
        <v>15</v>
      </c>
      <c r="B32" s="287" t="s">
        <v>497</v>
      </c>
      <c r="C32" s="804">
        <f t="shared" si="5"/>
        <v>1255545</v>
      </c>
      <c r="D32" s="739">
        <f t="shared" si="20"/>
        <v>60017.612211133055</v>
      </c>
      <c r="E32" s="739">
        <f t="shared" si="20"/>
        <v>14962.373912579387</v>
      </c>
      <c r="F32" s="739">
        <f t="shared" si="20"/>
        <v>69456.156268346051</v>
      </c>
      <c r="G32" s="739">
        <f t="shared" si="20"/>
        <v>7987.6501040721569</v>
      </c>
      <c r="H32" s="739">
        <f t="shared" si="20"/>
        <v>3602.4977317606872</v>
      </c>
      <c r="I32" s="739">
        <f t="shared" si="20"/>
        <v>15201.795911832203</v>
      </c>
      <c r="J32" s="348"/>
      <c r="K32" s="779">
        <f t="shared" si="21"/>
        <v>1426773</v>
      </c>
      <c r="L32" s="739">
        <v>90</v>
      </c>
      <c r="M32" s="739">
        <f t="shared" si="17"/>
        <v>15853.033333333333</v>
      </c>
      <c r="N32" s="652">
        <v>15724</v>
      </c>
      <c r="O32" s="652"/>
      <c r="P32" s="287" t="s">
        <v>369</v>
      </c>
      <c r="Q32" s="756">
        <v>40690</v>
      </c>
      <c r="R32" s="755"/>
      <c r="S32" s="292">
        <f>L32/2</f>
        <v>45</v>
      </c>
      <c r="T32" s="784">
        <v>27901</v>
      </c>
      <c r="U32" s="8">
        <f t="shared" si="18"/>
        <v>1255545</v>
      </c>
      <c r="V32" s="439"/>
      <c r="W32" s="756"/>
      <c r="X32" s="782"/>
      <c r="Y32" s="782"/>
      <c r="Z32" s="8">
        <f t="shared" si="19"/>
        <v>0</v>
      </c>
    </row>
    <row r="33" spans="1:26">
      <c r="A33" s="789">
        <f t="shared" si="16"/>
        <v>16</v>
      </c>
      <c r="B33" s="288" t="s">
        <v>439</v>
      </c>
      <c r="C33" s="804">
        <f t="shared" si="5"/>
        <v>200205</v>
      </c>
      <c r="D33" s="289">
        <f t="shared" si="20"/>
        <v>60017.612211133055</v>
      </c>
      <c r="E33" s="289">
        <f t="shared" si="20"/>
        <v>14962.373912579387</v>
      </c>
      <c r="F33" s="289">
        <f t="shared" si="20"/>
        <v>69456.156268346051</v>
      </c>
      <c r="G33" s="289">
        <f t="shared" si="20"/>
        <v>7987.6501040721569</v>
      </c>
      <c r="H33" s="289">
        <f t="shared" si="20"/>
        <v>3602.4977317606872</v>
      </c>
      <c r="I33" s="289">
        <f t="shared" si="20"/>
        <v>15201.795911832203</v>
      </c>
      <c r="J33" s="520"/>
      <c r="K33" s="779">
        <f t="shared" si="21"/>
        <v>371433</v>
      </c>
      <c r="L33" s="520">
        <v>90</v>
      </c>
      <c r="M33" s="791">
        <f t="shared" si="17"/>
        <v>4127.0333333333338</v>
      </c>
      <c r="N33" s="652">
        <v>4265</v>
      </c>
      <c r="O33" s="652"/>
      <c r="P33" s="185" t="s">
        <v>372</v>
      </c>
      <c r="Q33" s="756">
        <v>40690</v>
      </c>
      <c r="R33" s="755"/>
      <c r="S33" s="292">
        <f>L33/2</f>
        <v>45</v>
      </c>
      <c r="T33" s="251">
        <v>4449</v>
      </c>
      <c r="U33" s="8">
        <f t="shared" si="18"/>
        <v>200205</v>
      </c>
      <c r="V33" s="439"/>
      <c r="W33" s="756"/>
      <c r="X33" s="782"/>
      <c r="Y33" s="782"/>
      <c r="Z33" s="8">
        <f t="shared" si="19"/>
        <v>0</v>
      </c>
    </row>
    <row r="34" spans="1:26">
      <c r="A34" s="738">
        <f>IF(B34&lt;&gt;"",A33+1,"")</f>
        <v>17</v>
      </c>
      <c r="B34" s="287" t="s">
        <v>498</v>
      </c>
      <c r="C34" s="804">
        <f t="shared" si="5"/>
        <v>12800</v>
      </c>
      <c r="D34" s="739">
        <f t="shared" si="20"/>
        <v>1333.7247158029568</v>
      </c>
      <c r="E34" s="739">
        <f t="shared" si="20"/>
        <v>332.49719805731974</v>
      </c>
      <c r="F34" s="739">
        <f t="shared" si="20"/>
        <v>1543.470139296579</v>
      </c>
      <c r="G34" s="739">
        <f t="shared" si="20"/>
        <v>177.50333564604793</v>
      </c>
      <c r="H34" s="739">
        <f t="shared" si="20"/>
        <v>80.055505150237494</v>
      </c>
      <c r="I34" s="739">
        <f t="shared" si="20"/>
        <v>337.81768692960452</v>
      </c>
      <c r="J34" s="348"/>
      <c r="K34" s="779">
        <f t="shared" si="21"/>
        <v>16605</v>
      </c>
      <c r="L34" s="739">
        <v>2</v>
      </c>
      <c r="M34" s="739">
        <f t="shared" si="17"/>
        <v>8302.5</v>
      </c>
      <c r="N34" s="652">
        <v>8839</v>
      </c>
      <c r="O34" s="652"/>
      <c r="P34" s="185" t="s">
        <v>400</v>
      </c>
      <c r="Q34" s="756">
        <v>40690</v>
      </c>
      <c r="R34" s="755"/>
      <c r="S34" s="292">
        <f>L34</f>
        <v>2</v>
      </c>
      <c r="T34" s="251">
        <v>6400</v>
      </c>
      <c r="U34" s="8">
        <f t="shared" si="18"/>
        <v>12800</v>
      </c>
      <c r="V34" s="439"/>
      <c r="W34" s="756"/>
      <c r="X34" s="782"/>
      <c r="Y34" s="782"/>
      <c r="Z34" s="8">
        <f t="shared" si="19"/>
        <v>0</v>
      </c>
    </row>
    <row r="35" spans="1:26">
      <c r="A35" s="738">
        <f t="shared" si="16"/>
        <v>18</v>
      </c>
      <c r="B35" s="287" t="s">
        <v>499</v>
      </c>
      <c r="C35" s="804">
        <f t="shared" si="5"/>
        <v>4592</v>
      </c>
      <c r="D35" s="739">
        <f t="shared" si="20"/>
        <v>1333.7247158029568</v>
      </c>
      <c r="E35" s="739">
        <f t="shared" si="20"/>
        <v>332.49719805731974</v>
      </c>
      <c r="F35" s="739">
        <f t="shared" si="20"/>
        <v>1543.470139296579</v>
      </c>
      <c r="G35" s="739">
        <f t="shared" si="20"/>
        <v>177.50333564604793</v>
      </c>
      <c r="H35" s="739">
        <f t="shared" si="20"/>
        <v>80.055505150237494</v>
      </c>
      <c r="I35" s="739">
        <f t="shared" si="20"/>
        <v>337.81768692960452</v>
      </c>
      <c r="J35" s="348"/>
      <c r="K35" s="779">
        <f t="shared" si="21"/>
        <v>8397</v>
      </c>
      <c r="L35" s="739">
        <v>2</v>
      </c>
      <c r="M35" s="739">
        <f t="shared" si="17"/>
        <v>4198.5</v>
      </c>
      <c r="N35" s="652">
        <v>5857</v>
      </c>
      <c r="O35" s="652"/>
      <c r="P35" s="185" t="s">
        <v>381</v>
      </c>
      <c r="Q35" s="756">
        <v>40690</v>
      </c>
      <c r="R35" s="755"/>
      <c r="S35" s="292">
        <f>L35/2</f>
        <v>1</v>
      </c>
      <c r="T35" s="251">
        <v>4592</v>
      </c>
      <c r="U35" s="8">
        <f t="shared" si="18"/>
        <v>4592</v>
      </c>
      <c r="V35" s="439"/>
      <c r="W35" s="756"/>
      <c r="X35" s="782"/>
      <c r="Y35" s="782"/>
      <c r="Z35" s="8">
        <f t="shared" si="19"/>
        <v>0</v>
      </c>
    </row>
    <row r="36" spans="1:26">
      <c r="A36" s="738">
        <f t="shared" si="16"/>
        <v>19</v>
      </c>
      <c r="B36" s="287" t="s">
        <v>500</v>
      </c>
      <c r="C36" s="804">
        <f t="shared" si="5"/>
        <v>1273600</v>
      </c>
      <c r="D36" s="739">
        <f t="shared" si="20"/>
        <v>130038.15979078828</v>
      </c>
      <c r="E36" s="739">
        <f t="shared" si="20"/>
        <v>32418.476810588676</v>
      </c>
      <c r="F36" s="739">
        <f t="shared" si="20"/>
        <v>150488.33858141644</v>
      </c>
      <c r="G36" s="739">
        <f t="shared" si="20"/>
        <v>17306.575225489672</v>
      </c>
      <c r="H36" s="739">
        <f t="shared" si="20"/>
        <v>7805.4117521481558</v>
      </c>
      <c r="I36" s="739">
        <f t="shared" si="20"/>
        <v>32937.224475636438</v>
      </c>
      <c r="J36" s="348"/>
      <c r="K36" s="779">
        <f t="shared" si="21"/>
        <v>1644594</v>
      </c>
      <c r="L36" s="739">
        <v>195</v>
      </c>
      <c r="M36" s="739">
        <f t="shared" si="17"/>
        <v>8433.8153846153855</v>
      </c>
      <c r="N36" s="652">
        <v>8824</v>
      </c>
      <c r="O36" s="652"/>
      <c r="P36" s="185" t="s">
        <v>400</v>
      </c>
      <c r="Q36" s="756">
        <v>40690</v>
      </c>
      <c r="R36" s="755"/>
      <c r="S36" s="292">
        <v>199</v>
      </c>
      <c r="T36" s="251">
        <v>6400</v>
      </c>
      <c r="U36" s="8">
        <f t="shared" si="18"/>
        <v>1273600</v>
      </c>
      <c r="V36" s="439"/>
      <c r="W36" s="756"/>
      <c r="X36" s="782"/>
      <c r="Y36" s="782"/>
      <c r="Z36" s="8">
        <f t="shared" si="19"/>
        <v>0</v>
      </c>
    </row>
    <row r="37" spans="1:26">
      <c r="A37" s="738">
        <f t="shared" si="16"/>
        <v>20</v>
      </c>
      <c r="B37" s="287" t="s">
        <v>501</v>
      </c>
      <c r="C37" s="804">
        <f t="shared" si="5"/>
        <v>295680</v>
      </c>
      <c r="D37" s="739">
        <f t="shared" si="20"/>
        <v>13337.247158029568</v>
      </c>
      <c r="E37" s="739">
        <f t="shared" si="20"/>
        <v>3324.9719805731975</v>
      </c>
      <c r="F37" s="739">
        <f t="shared" si="20"/>
        <v>15434.70139296579</v>
      </c>
      <c r="G37" s="739">
        <f t="shared" si="20"/>
        <v>1775.0333564604794</v>
      </c>
      <c r="H37" s="739">
        <f t="shared" si="20"/>
        <v>800.55505150237491</v>
      </c>
      <c r="I37" s="739">
        <f t="shared" si="20"/>
        <v>3378.176869296045</v>
      </c>
      <c r="J37" s="348"/>
      <c r="K37" s="779">
        <f t="shared" si="21"/>
        <v>333731</v>
      </c>
      <c r="L37" s="739">
        <v>20</v>
      </c>
      <c r="M37" s="739">
        <f t="shared" si="17"/>
        <v>16686.55</v>
      </c>
      <c r="N37" s="652">
        <v>16023</v>
      </c>
      <c r="O37" s="652"/>
      <c r="P37" s="185" t="s">
        <v>397</v>
      </c>
      <c r="Q37" s="756">
        <v>40690</v>
      </c>
      <c r="R37" s="755"/>
      <c r="S37" s="292">
        <f>L37</f>
        <v>20</v>
      </c>
      <c r="T37" s="249">
        <v>14784</v>
      </c>
      <c r="U37" s="8">
        <f t="shared" si="18"/>
        <v>295680</v>
      </c>
      <c r="V37" s="439"/>
      <c r="W37" s="756"/>
      <c r="X37" s="782"/>
      <c r="Y37" s="782"/>
      <c r="Z37" s="8">
        <f t="shared" si="19"/>
        <v>0</v>
      </c>
    </row>
    <row r="38" spans="1:26">
      <c r="A38" s="738">
        <f t="shared" si="16"/>
        <v>21</v>
      </c>
      <c r="B38" s="287" t="s">
        <v>502</v>
      </c>
      <c r="C38" s="804">
        <f t="shared" si="5"/>
        <v>5612</v>
      </c>
      <c r="D38" s="739">
        <f t="shared" ref="D38:I47" si="23">IF($L$149&lt;&gt;0,D$149/$L$149*$L38,0)</f>
        <v>666.86235790147839</v>
      </c>
      <c r="E38" s="739">
        <f t="shared" si="23"/>
        <v>166.24859902865987</v>
      </c>
      <c r="F38" s="739">
        <f t="shared" si="23"/>
        <v>771.73506964828948</v>
      </c>
      <c r="G38" s="739">
        <f t="shared" si="23"/>
        <v>88.751667823023965</v>
      </c>
      <c r="H38" s="739">
        <f t="shared" si="23"/>
        <v>40.027752575118747</v>
      </c>
      <c r="I38" s="739">
        <f t="shared" si="23"/>
        <v>168.90884346480226</v>
      </c>
      <c r="J38" s="348"/>
      <c r="K38" s="779">
        <f t="shared" si="21"/>
        <v>7515</v>
      </c>
      <c r="L38" s="739">
        <v>1</v>
      </c>
      <c r="M38" s="739">
        <f t="shared" si="17"/>
        <v>7515</v>
      </c>
      <c r="N38" s="652">
        <v>7358</v>
      </c>
      <c r="O38" s="652"/>
      <c r="P38" s="185" t="s">
        <v>393</v>
      </c>
      <c r="Q38" s="756">
        <v>40690</v>
      </c>
      <c r="R38" s="755"/>
      <c r="S38" s="802">
        <f t="shared" ref="S38" si="24">L38</f>
        <v>1</v>
      </c>
      <c r="T38" s="251">
        <v>5612</v>
      </c>
      <c r="U38" s="8">
        <f t="shared" si="18"/>
        <v>5612</v>
      </c>
      <c r="V38" s="439"/>
      <c r="W38" s="756"/>
      <c r="X38" s="782"/>
      <c r="Y38" s="782"/>
      <c r="Z38" s="8">
        <f t="shared" si="19"/>
        <v>0</v>
      </c>
    </row>
    <row r="39" spans="1:26">
      <c r="A39" s="738">
        <f t="shared" si="16"/>
        <v>22</v>
      </c>
      <c r="B39" s="287" t="s">
        <v>503</v>
      </c>
      <c r="C39" s="804">
        <f t="shared" si="5"/>
        <v>17796</v>
      </c>
      <c r="D39" s="739">
        <f t="shared" si="23"/>
        <v>2667.4494316059136</v>
      </c>
      <c r="E39" s="739">
        <f t="shared" si="23"/>
        <v>664.99439611463947</v>
      </c>
      <c r="F39" s="739">
        <f t="shared" si="23"/>
        <v>3086.9402785931579</v>
      </c>
      <c r="G39" s="739">
        <f t="shared" si="23"/>
        <v>355.00667129209586</v>
      </c>
      <c r="H39" s="739">
        <f t="shared" si="23"/>
        <v>160.11101030047499</v>
      </c>
      <c r="I39" s="739">
        <f t="shared" si="23"/>
        <v>675.63537385920904</v>
      </c>
      <c r="J39" s="348"/>
      <c r="K39" s="779">
        <f t="shared" si="21"/>
        <v>25406</v>
      </c>
      <c r="L39" s="739">
        <v>4</v>
      </c>
      <c r="M39" s="739">
        <f t="shared" si="17"/>
        <v>6351.5</v>
      </c>
      <c r="N39" s="652">
        <v>7429</v>
      </c>
      <c r="O39" s="652"/>
      <c r="P39" s="287" t="s">
        <v>372</v>
      </c>
      <c r="Q39" s="756">
        <v>40690</v>
      </c>
      <c r="R39" s="755"/>
      <c r="S39" s="292">
        <f>L39</f>
        <v>4</v>
      </c>
      <c r="T39" s="251">
        <v>4449</v>
      </c>
      <c r="U39" s="8">
        <f t="shared" si="18"/>
        <v>17796</v>
      </c>
      <c r="V39" s="439"/>
      <c r="W39" s="756"/>
      <c r="X39" s="782"/>
      <c r="Y39" s="782"/>
      <c r="Z39" s="8">
        <f t="shared" si="19"/>
        <v>0</v>
      </c>
    </row>
    <row r="40" spans="1:26">
      <c r="A40" s="738">
        <f t="shared" si="16"/>
        <v>23</v>
      </c>
      <c r="B40" s="287" t="s">
        <v>504</v>
      </c>
      <c r="C40" s="804">
        <f t="shared" si="5"/>
        <v>4449</v>
      </c>
      <c r="D40" s="739">
        <f t="shared" si="23"/>
        <v>1333.7247158029568</v>
      </c>
      <c r="E40" s="739">
        <f t="shared" si="23"/>
        <v>332.49719805731974</v>
      </c>
      <c r="F40" s="739">
        <f t="shared" si="23"/>
        <v>1543.470139296579</v>
      </c>
      <c r="G40" s="739">
        <f t="shared" si="23"/>
        <v>177.50333564604793</v>
      </c>
      <c r="H40" s="739">
        <f t="shared" si="23"/>
        <v>80.055505150237494</v>
      </c>
      <c r="I40" s="739">
        <f t="shared" si="23"/>
        <v>337.81768692960452</v>
      </c>
      <c r="J40" s="348"/>
      <c r="K40" s="779">
        <f t="shared" si="21"/>
        <v>8254</v>
      </c>
      <c r="L40" s="739">
        <v>2</v>
      </c>
      <c r="M40" s="739">
        <f t="shared" si="17"/>
        <v>4127</v>
      </c>
      <c r="N40" s="652">
        <v>4823</v>
      </c>
      <c r="O40" s="652"/>
      <c r="P40" s="185" t="s">
        <v>372</v>
      </c>
      <c r="Q40" s="756">
        <v>40690</v>
      </c>
      <c r="R40" s="755"/>
      <c r="S40" s="292">
        <f>L40/2</f>
        <v>1</v>
      </c>
      <c r="T40" s="251">
        <v>4449</v>
      </c>
      <c r="U40" s="8">
        <f t="shared" si="18"/>
        <v>4449</v>
      </c>
      <c r="V40" s="439"/>
      <c r="W40" s="756"/>
      <c r="X40" s="782"/>
      <c r="Y40" s="782"/>
      <c r="Z40" s="8">
        <f t="shared" si="19"/>
        <v>0</v>
      </c>
    </row>
    <row r="41" spans="1:26">
      <c r="A41" s="738">
        <f t="shared" si="16"/>
        <v>24</v>
      </c>
      <c r="B41" s="287" t="s">
        <v>505</v>
      </c>
      <c r="C41" s="804">
        <f t="shared" si="5"/>
        <v>14536</v>
      </c>
      <c r="D41" s="739">
        <f t="shared" si="23"/>
        <v>1333.7247158029568</v>
      </c>
      <c r="E41" s="739">
        <f t="shared" si="23"/>
        <v>332.49719805731974</v>
      </c>
      <c r="F41" s="739">
        <f t="shared" si="23"/>
        <v>1543.470139296579</v>
      </c>
      <c r="G41" s="739">
        <f t="shared" si="23"/>
        <v>177.50333564604793</v>
      </c>
      <c r="H41" s="739">
        <f t="shared" si="23"/>
        <v>80.055505150237494</v>
      </c>
      <c r="I41" s="739">
        <f t="shared" si="23"/>
        <v>337.81768692960452</v>
      </c>
      <c r="J41" s="348"/>
      <c r="K41" s="779">
        <f t="shared" si="21"/>
        <v>18341</v>
      </c>
      <c r="L41" s="739">
        <v>2</v>
      </c>
      <c r="M41" s="739">
        <f t="shared" si="17"/>
        <v>9170.5</v>
      </c>
      <c r="N41" s="652">
        <v>9141</v>
      </c>
      <c r="O41" s="652"/>
      <c r="P41" s="185" t="s">
        <v>401</v>
      </c>
      <c r="Q41" s="756">
        <v>40690</v>
      </c>
      <c r="R41" s="755"/>
      <c r="S41" s="292">
        <f>L41</f>
        <v>2</v>
      </c>
      <c r="T41" s="251">
        <v>7268</v>
      </c>
      <c r="U41" s="8">
        <f t="shared" si="18"/>
        <v>14536</v>
      </c>
      <c r="V41" s="439"/>
      <c r="W41" s="756"/>
      <c r="X41" s="782"/>
      <c r="Y41" s="782"/>
      <c r="Z41" s="8">
        <f t="shared" si="19"/>
        <v>0</v>
      </c>
    </row>
    <row r="42" spans="1:26">
      <c r="A42" s="738">
        <f t="shared" si="16"/>
        <v>25</v>
      </c>
      <c r="B42" s="287" t="s">
        <v>506</v>
      </c>
      <c r="C42" s="804">
        <f t="shared" si="5"/>
        <v>11662</v>
      </c>
      <c r="D42" s="739">
        <f t="shared" si="23"/>
        <v>1333.7247158029568</v>
      </c>
      <c r="E42" s="739">
        <f t="shared" si="23"/>
        <v>332.49719805731974</v>
      </c>
      <c r="F42" s="739">
        <f t="shared" si="23"/>
        <v>1543.470139296579</v>
      </c>
      <c r="G42" s="739">
        <f t="shared" si="23"/>
        <v>177.50333564604793</v>
      </c>
      <c r="H42" s="739">
        <f t="shared" si="23"/>
        <v>80.055505150237494</v>
      </c>
      <c r="I42" s="739">
        <f t="shared" si="23"/>
        <v>337.81768692960452</v>
      </c>
      <c r="J42" s="348"/>
      <c r="K42" s="779">
        <f t="shared" si="21"/>
        <v>15467</v>
      </c>
      <c r="L42" s="739">
        <v>2</v>
      </c>
      <c r="M42" s="739">
        <f t="shared" si="17"/>
        <v>7733.5</v>
      </c>
      <c r="N42" s="652">
        <v>7441</v>
      </c>
      <c r="O42" s="652"/>
      <c r="P42" s="185" t="s">
        <v>394</v>
      </c>
      <c r="Q42" s="756">
        <v>40690</v>
      </c>
      <c r="R42" s="755"/>
      <c r="S42" s="802">
        <f t="shared" ref="S42:S43" si="25">L42</f>
        <v>2</v>
      </c>
      <c r="T42" s="251">
        <v>5831</v>
      </c>
      <c r="U42" s="8">
        <f t="shared" si="18"/>
        <v>11662</v>
      </c>
      <c r="V42" s="439"/>
      <c r="W42" s="756"/>
      <c r="X42" s="782"/>
      <c r="Y42" s="782"/>
      <c r="Z42" s="8">
        <f t="shared" si="19"/>
        <v>0</v>
      </c>
    </row>
    <row r="43" spans="1:26">
      <c r="A43" s="738">
        <f t="shared" si="16"/>
        <v>26</v>
      </c>
      <c r="B43" s="287" t="s">
        <v>507</v>
      </c>
      <c r="C43" s="804">
        <f t="shared" si="5"/>
        <v>28060</v>
      </c>
      <c r="D43" s="739">
        <f t="shared" si="23"/>
        <v>3334.3117895073919</v>
      </c>
      <c r="E43" s="739">
        <f t="shared" si="23"/>
        <v>831.24299514329937</v>
      </c>
      <c r="F43" s="739">
        <f t="shared" si="23"/>
        <v>3858.6753482414474</v>
      </c>
      <c r="G43" s="739">
        <f t="shared" si="23"/>
        <v>443.75833911511984</v>
      </c>
      <c r="H43" s="739">
        <f t="shared" si="23"/>
        <v>200.13876287559373</v>
      </c>
      <c r="I43" s="739">
        <f t="shared" si="23"/>
        <v>844.54421732401124</v>
      </c>
      <c r="J43" s="348"/>
      <c r="K43" s="779">
        <f t="shared" si="21"/>
        <v>37573</v>
      </c>
      <c r="L43" s="739">
        <v>5</v>
      </c>
      <c r="M43" s="739">
        <f t="shared" si="17"/>
        <v>7514.6</v>
      </c>
      <c r="N43" s="652">
        <v>7175</v>
      </c>
      <c r="O43" s="652"/>
      <c r="P43" s="185" t="s">
        <v>393</v>
      </c>
      <c r="Q43" s="756">
        <v>40690</v>
      </c>
      <c r="R43" s="755"/>
      <c r="S43" s="802">
        <f t="shared" si="25"/>
        <v>5</v>
      </c>
      <c r="T43" s="251">
        <v>5612</v>
      </c>
      <c r="U43" s="8">
        <f t="shared" si="18"/>
        <v>28060</v>
      </c>
      <c r="V43" s="439"/>
      <c r="W43" s="756"/>
      <c r="X43" s="782"/>
      <c r="Y43" s="782"/>
      <c r="Z43" s="8">
        <f t="shared" si="19"/>
        <v>0</v>
      </c>
    </row>
    <row r="44" spans="1:26">
      <c r="A44" s="738">
        <f t="shared" si="16"/>
        <v>27</v>
      </c>
      <c r="B44" s="287" t="s">
        <v>508</v>
      </c>
      <c r="C44" s="804">
        <f t="shared" si="5"/>
        <v>1455550</v>
      </c>
      <c r="D44" s="739">
        <f t="shared" si="23"/>
        <v>57350.162779527142</v>
      </c>
      <c r="E44" s="739">
        <f t="shared" si="23"/>
        <v>14297.379516464749</v>
      </c>
      <c r="F44" s="739">
        <f t="shared" si="23"/>
        <v>66369.215989752891</v>
      </c>
      <c r="G44" s="739">
        <f t="shared" si="23"/>
        <v>7632.6434327800607</v>
      </c>
      <c r="H44" s="739">
        <f t="shared" si="23"/>
        <v>3442.3867214602124</v>
      </c>
      <c r="I44" s="739">
        <f t="shared" si="23"/>
        <v>14526.160537972994</v>
      </c>
      <c r="J44" s="348"/>
      <c r="K44" s="779">
        <f t="shared" si="21"/>
        <v>1619168</v>
      </c>
      <c r="L44" s="739">
        <v>86</v>
      </c>
      <c r="M44" s="739">
        <f t="shared" si="17"/>
        <v>18827.534883720931</v>
      </c>
      <c r="N44" s="652">
        <v>19591</v>
      </c>
      <c r="O44" s="652"/>
      <c r="P44" s="185" t="s">
        <v>387</v>
      </c>
      <c r="Q44" s="756">
        <v>40690</v>
      </c>
      <c r="R44" s="755"/>
      <c r="S44" s="802">
        <f>L44</f>
        <v>86</v>
      </c>
      <c r="T44" s="784">
        <v>16925</v>
      </c>
      <c r="U44" s="8">
        <f t="shared" si="18"/>
        <v>1455550</v>
      </c>
      <c r="V44" s="439"/>
      <c r="W44" s="756"/>
      <c r="X44" s="782"/>
      <c r="Y44" s="782"/>
      <c r="Z44" s="8">
        <f t="shared" si="19"/>
        <v>0</v>
      </c>
    </row>
    <row r="45" spans="1:26">
      <c r="A45" s="738">
        <f t="shared" si="16"/>
        <v>28</v>
      </c>
      <c r="B45" s="287" t="s">
        <v>509</v>
      </c>
      <c r="C45" s="804">
        <f t="shared" si="5"/>
        <v>53992</v>
      </c>
      <c r="D45" s="739">
        <f t="shared" si="23"/>
        <v>2667.4494316059136</v>
      </c>
      <c r="E45" s="739">
        <f t="shared" si="23"/>
        <v>664.99439611463947</v>
      </c>
      <c r="F45" s="739">
        <f t="shared" si="23"/>
        <v>3086.9402785931579</v>
      </c>
      <c r="G45" s="739">
        <f t="shared" si="23"/>
        <v>355.00667129209586</v>
      </c>
      <c r="H45" s="739">
        <f t="shared" si="23"/>
        <v>160.11101030047499</v>
      </c>
      <c r="I45" s="739">
        <f t="shared" si="23"/>
        <v>675.63537385920904</v>
      </c>
      <c r="J45" s="348"/>
      <c r="K45" s="779">
        <f t="shared" si="21"/>
        <v>61602</v>
      </c>
      <c r="L45" s="739">
        <v>4</v>
      </c>
      <c r="M45" s="739">
        <f t="shared" si="17"/>
        <v>15400.5</v>
      </c>
      <c r="N45" s="652">
        <v>16433</v>
      </c>
      <c r="O45" s="652"/>
      <c r="P45" s="185" t="s">
        <v>392</v>
      </c>
      <c r="Q45" s="756">
        <v>40690</v>
      </c>
      <c r="R45" s="755"/>
      <c r="S45" s="292">
        <f t="shared" ref="S45:S46" si="26">L45</f>
        <v>4</v>
      </c>
      <c r="T45" s="251">
        <v>13498</v>
      </c>
      <c r="U45" s="8">
        <f t="shared" si="18"/>
        <v>53992</v>
      </c>
      <c r="V45" s="439"/>
      <c r="W45" s="756"/>
      <c r="X45" s="782"/>
      <c r="Y45" s="782"/>
      <c r="Z45" s="8">
        <f t="shared" si="19"/>
        <v>0</v>
      </c>
    </row>
    <row r="46" spans="1:26">
      <c r="A46" s="738">
        <f t="shared" si="16"/>
        <v>29</v>
      </c>
      <c r="B46" s="287" t="s">
        <v>510</v>
      </c>
      <c r="C46" s="804">
        <f t="shared" si="5"/>
        <v>323952</v>
      </c>
      <c r="D46" s="739">
        <f t="shared" si="23"/>
        <v>16004.696589635481</v>
      </c>
      <c r="E46" s="739">
        <f t="shared" si="23"/>
        <v>3989.9663766878366</v>
      </c>
      <c r="F46" s="739">
        <f t="shared" si="23"/>
        <v>18521.641671558948</v>
      </c>
      <c r="G46" s="739">
        <f t="shared" si="23"/>
        <v>2130.040027752575</v>
      </c>
      <c r="H46" s="739">
        <f t="shared" si="23"/>
        <v>960.66606180284998</v>
      </c>
      <c r="I46" s="739">
        <f t="shared" si="23"/>
        <v>4053.8122431552542</v>
      </c>
      <c r="J46" s="348"/>
      <c r="K46" s="779">
        <f t="shared" si="21"/>
        <v>369613</v>
      </c>
      <c r="L46" s="739">
        <v>24</v>
      </c>
      <c r="M46" s="739">
        <f t="shared" si="17"/>
        <v>15400.541666666666</v>
      </c>
      <c r="N46" s="652">
        <v>15538</v>
      </c>
      <c r="O46" s="652"/>
      <c r="P46" s="185" t="s">
        <v>392</v>
      </c>
      <c r="Q46" s="756">
        <v>40690</v>
      </c>
      <c r="R46" s="755"/>
      <c r="S46" s="292">
        <f t="shared" si="26"/>
        <v>24</v>
      </c>
      <c r="T46" s="251">
        <v>13498</v>
      </c>
      <c r="U46" s="8">
        <f t="shared" si="18"/>
        <v>323952</v>
      </c>
      <c r="V46" s="439"/>
      <c r="W46" s="756"/>
      <c r="X46" s="782"/>
      <c r="Y46" s="782"/>
      <c r="Z46" s="8">
        <f t="shared" si="19"/>
        <v>0</v>
      </c>
    </row>
    <row r="47" spans="1:26">
      <c r="A47" s="738">
        <f t="shared" si="16"/>
        <v>30</v>
      </c>
      <c r="B47" s="287" t="s">
        <v>511</v>
      </c>
      <c r="C47" s="804">
        <f t="shared" si="5"/>
        <v>5128200</v>
      </c>
      <c r="D47" s="739">
        <f t="shared" si="23"/>
        <v>242737.89827613812</v>
      </c>
      <c r="E47" s="739">
        <f t="shared" si="23"/>
        <v>60514.490046432191</v>
      </c>
      <c r="F47" s="739">
        <f t="shared" si="23"/>
        <v>280911.56535197736</v>
      </c>
      <c r="G47" s="739">
        <f t="shared" si="23"/>
        <v>32305.607087580724</v>
      </c>
      <c r="H47" s="739">
        <f t="shared" si="23"/>
        <v>14570.101937343225</v>
      </c>
      <c r="I47" s="739">
        <f t="shared" si="23"/>
        <v>61482.819021188021</v>
      </c>
      <c r="J47" s="348"/>
      <c r="K47" s="779">
        <f t="shared" si="21"/>
        <v>5820722</v>
      </c>
      <c r="L47" s="739">
        <v>364</v>
      </c>
      <c r="M47" s="739">
        <f t="shared" si="17"/>
        <v>15990.994505494506</v>
      </c>
      <c r="N47" s="652">
        <v>17124</v>
      </c>
      <c r="O47" s="652"/>
      <c r="P47" s="287" t="s">
        <v>385</v>
      </c>
      <c r="Q47" s="756">
        <v>40690</v>
      </c>
      <c r="R47" s="755"/>
      <c r="S47" s="292">
        <v>185</v>
      </c>
      <c r="T47" s="249">
        <v>27720</v>
      </c>
      <c r="U47" s="8">
        <f t="shared" si="18"/>
        <v>5128200</v>
      </c>
      <c r="V47" s="439"/>
      <c r="W47" s="756"/>
      <c r="X47" s="782"/>
      <c r="Y47" s="782"/>
      <c r="Z47" s="8">
        <f t="shared" si="19"/>
        <v>0</v>
      </c>
    </row>
    <row r="48" spans="1:26">
      <c r="A48" s="738">
        <f t="shared" si="16"/>
        <v>31</v>
      </c>
      <c r="B48" s="287" t="s">
        <v>512</v>
      </c>
      <c r="C48" s="804">
        <f t="shared" si="5"/>
        <v>17240</v>
      </c>
      <c r="D48" s="739">
        <f t="shared" ref="D48:I57" si="27">IF($L$149&lt;&gt;0,D$149/$L$149*$L48,0)</f>
        <v>1333.7247158029568</v>
      </c>
      <c r="E48" s="739">
        <f t="shared" si="27"/>
        <v>332.49719805731974</v>
      </c>
      <c r="F48" s="739">
        <f t="shared" si="27"/>
        <v>1543.470139296579</v>
      </c>
      <c r="G48" s="739">
        <f t="shared" si="27"/>
        <v>177.50333564604793</v>
      </c>
      <c r="H48" s="739">
        <f t="shared" si="27"/>
        <v>80.055505150237494</v>
      </c>
      <c r="I48" s="739">
        <f t="shared" si="27"/>
        <v>337.81768692960452</v>
      </c>
      <c r="J48" s="348"/>
      <c r="K48" s="779">
        <f t="shared" si="21"/>
        <v>21045</v>
      </c>
      <c r="L48" s="739">
        <v>2</v>
      </c>
      <c r="M48" s="739">
        <f t="shared" si="17"/>
        <v>10522.5</v>
      </c>
      <c r="N48" s="652">
        <v>12738</v>
      </c>
      <c r="O48" s="652"/>
      <c r="P48" s="185" t="s">
        <v>395</v>
      </c>
      <c r="Q48" s="756">
        <v>40690</v>
      </c>
      <c r="R48" s="755"/>
      <c r="S48" s="292">
        <f>L48</f>
        <v>2</v>
      </c>
      <c r="T48" s="249">
        <v>8620</v>
      </c>
      <c r="U48" s="8">
        <f t="shared" si="18"/>
        <v>17240</v>
      </c>
      <c r="V48" s="439"/>
      <c r="W48" s="756"/>
      <c r="X48" s="782"/>
      <c r="Y48" s="782"/>
      <c r="Z48" s="8">
        <f t="shared" si="19"/>
        <v>0</v>
      </c>
    </row>
    <row r="49" spans="1:26">
      <c r="A49" s="789">
        <f t="shared" si="16"/>
        <v>32</v>
      </c>
      <c r="B49" s="288" t="s">
        <v>513</v>
      </c>
      <c r="C49" s="804">
        <f t="shared" si="5"/>
        <v>118580</v>
      </c>
      <c r="D49" s="289">
        <f t="shared" si="27"/>
        <v>6668.6235790147839</v>
      </c>
      <c r="E49" s="289">
        <f t="shared" si="27"/>
        <v>1662.4859902865987</v>
      </c>
      <c r="F49" s="289">
        <f t="shared" si="27"/>
        <v>7717.3506964828948</v>
      </c>
      <c r="G49" s="289">
        <f t="shared" si="27"/>
        <v>887.51667823023968</v>
      </c>
      <c r="H49" s="289">
        <f t="shared" si="27"/>
        <v>400.27752575118745</v>
      </c>
      <c r="I49" s="289">
        <f t="shared" si="27"/>
        <v>1689.0884346480225</v>
      </c>
      <c r="J49" s="348"/>
      <c r="K49" s="779">
        <f t="shared" si="21"/>
        <v>137605</v>
      </c>
      <c r="L49" s="520">
        <v>10</v>
      </c>
      <c r="M49" s="520">
        <f t="shared" si="17"/>
        <v>13760.5</v>
      </c>
      <c r="N49" s="792">
        <v>14997</v>
      </c>
      <c r="O49" s="652"/>
      <c r="P49" s="185" t="s">
        <v>389</v>
      </c>
      <c r="Q49" s="756">
        <v>40690</v>
      </c>
      <c r="R49" s="755"/>
      <c r="S49" s="802">
        <v>5</v>
      </c>
      <c r="T49" s="251">
        <v>23716</v>
      </c>
      <c r="U49" s="8">
        <f t="shared" si="18"/>
        <v>118580</v>
      </c>
      <c r="V49" s="439"/>
      <c r="W49" s="756"/>
      <c r="X49" s="782"/>
      <c r="Y49" s="782"/>
      <c r="Z49" s="8">
        <f t="shared" si="19"/>
        <v>0</v>
      </c>
    </row>
    <row r="50" spans="1:26">
      <c r="A50" s="738">
        <f>IF(B50&lt;&gt;"",A49+1,"")</f>
        <v>33</v>
      </c>
      <c r="B50" s="287" t="s">
        <v>514</v>
      </c>
      <c r="C50" s="804">
        <f t="shared" si="5"/>
        <v>5821200</v>
      </c>
      <c r="D50" s="739">
        <f t="shared" si="27"/>
        <v>276081.01617121208</v>
      </c>
      <c r="E50" s="739">
        <f t="shared" si="27"/>
        <v>68826.919997865189</v>
      </c>
      <c r="F50" s="739">
        <f t="shared" si="27"/>
        <v>319498.31883439183</v>
      </c>
      <c r="G50" s="739">
        <f t="shared" si="27"/>
        <v>36743.190478731922</v>
      </c>
      <c r="H50" s="250">
        <f t="shared" si="27"/>
        <v>16571.489566099161</v>
      </c>
      <c r="I50" s="250">
        <f t="shared" si="27"/>
        <v>69928.261194428138</v>
      </c>
      <c r="J50" s="348"/>
      <c r="K50" s="779">
        <f t="shared" si="21"/>
        <v>6608849</v>
      </c>
      <c r="L50" s="250">
        <v>414</v>
      </c>
      <c r="M50" s="250">
        <f t="shared" si="17"/>
        <v>15963.403381642513</v>
      </c>
      <c r="N50" s="652">
        <v>16852</v>
      </c>
      <c r="O50" s="652"/>
      <c r="P50" s="287" t="s">
        <v>385</v>
      </c>
      <c r="Q50" s="756">
        <v>40690</v>
      </c>
      <c r="R50" s="755"/>
      <c r="S50" s="292">
        <v>210</v>
      </c>
      <c r="T50" s="249">
        <v>27720</v>
      </c>
      <c r="U50" s="8">
        <f t="shared" si="18"/>
        <v>5821200</v>
      </c>
      <c r="V50" s="439"/>
      <c r="W50" s="756"/>
      <c r="X50" s="782"/>
      <c r="Y50" s="782"/>
      <c r="Z50" s="8">
        <f t="shared" si="19"/>
        <v>0</v>
      </c>
    </row>
    <row r="51" spans="1:26">
      <c r="A51" s="738">
        <f t="shared" si="16"/>
        <v>34</v>
      </c>
      <c r="B51" s="287" t="s">
        <v>515</v>
      </c>
      <c r="C51" s="804">
        <f t="shared" si="5"/>
        <v>17388000</v>
      </c>
      <c r="D51" s="739">
        <f t="shared" si="27"/>
        <v>920270.05390404013</v>
      </c>
      <c r="E51" s="739">
        <f t="shared" si="27"/>
        <v>229423.06665955062</v>
      </c>
      <c r="F51" s="739">
        <f t="shared" si="27"/>
        <v>1064994.3961146395</v>
      </c>
      <c r="G51" s="739">
        <f t="shared" si="27"/>
        <v>122477.30159577307</v>
      </c>
      <c r="H51" s="250">
        <f t="shared" si="27"/>
        <v>55238.298553663873</v>
      </c>
      <c r="I51" s="250">
        <f t="shared" si="27"/>
        <v>233094.20398142713</v>
      </c>
      <c r="J51" s="348"/>
      <c r="K51" s="779">
        <f t="shared" si="21"/>
        <v>20013497</v>
      </c>
      <c r="L51" s="250">
        <v>1380</v>
      </c>
      <c r="M51" s="250">
        <f t="shared" si="17"/>
        <v>14502.534057971014</v>
      </c>
      <c r="N51" s="652">
        <v>14135</v>
      </c>
      <c r="O51" s="652"/>
      <c r="P51" s="287" t="s">
        <v>384</v>
      </c>
      <c r="Q51" s="756">
        <v>40690</v>
      </c>
      <c r="R51" s="755"/>
      <c r="S51" s="802">
        <f>L51/2</f>
        <v>690</v>
      </c>
      <c r="T51" s="251">
        <v>25200</v>
      </c>
      <c r="U51" s="8">
        <f t="shared" si="18"/>
        <v>17388000</v>
      </c>
      <c r="V51" s="439"/>
      <c r="W51" s="756"/>
      <c r="X51" s="782"/>
      <c r="Y51" s="782"/>
      <c r="Z51" s="8">
        <f t="shared" si="19"/>
        <v>0</v>
      </c>
    </row>
    <row r="52" spans="1:26">
      <c r="A52" s="789">
        <f t="shared" si="16"/>
        <v>35</v>
      </c>
      <c r="B52" s="288" t="s">
        <v>516</v>
      </c>
      <c r="C52" s="804">
        <f t="shared" si="5"/>
        <v>14212800</v>
      </c>
      <c r="D52" s="289">
        <f t="shared" si="27"/>
        <v>751553.87735496613</v>
      </c>
      <c r="E52" s="289">
        <f t="shared" si="27"/>
        <v>187362.17110529967</v>
      </c>
      <c r="F52" s="289">
        <f t="shared" si="27"/>
        <v>869745.42349362222</v>
      </c>
      <c r="G52" s="289">
        <f t="shared" si="27"/>
        <v>100023.12963654801</v>
      </c>
      <c r="H52" s="289">
        <f t="shared" si="27"/>
        <v>45111.277152158829</v>
      </c>
      <c r="I52" s="289">
        <f t="shared" si="27"/>
        <v>190360.26658483213</v>
      </c>
      <c r="J52" s="289"/>
      <c r="K52" s="779">
        <f t="shared" si="21"/>
        <v>16356956</v>
      </c>
      <c r="L52" s="520">
        <v>1127</v>
      </c>
      <c r="M52" s="520">
        <f t="shared" si="17"/>
        <v>14513.714285714286</v>
      </c>
      <c r="N52" s="792">
        <v>14920</v>
      </c>
      <c r="O52" s="652"/>
      <c r="P52" s="287" t="s">
        <v>384</v>
      </c>
      <c r="Q52" s="756">
        <v>40690</v>
      </c>
      <c r="R52" s="755"/>
      <c r="S52" s="802">
        <v>564</v>
      </c>
      <c r="T52" s="251">
        <v>25200</v>
      </c>
      <c r="U52" s="8">
        <f t="shared" si="18"/>
        <v>14212800</v>
      </c>
      <c r="V52" s="439"/>
      <c r="W52" s="756"/>
      <c r="X52" s="782"/>
      <c r="Y52" s="782"/>
      <c r="Z52" s="8">
        <f t="shared" si="19"/>
        <v>0</v>
      </c>
    </row>
    <row r="53" spans="1:26">
      <c r="A53" s="789">
        <f>IF(B53&lt;&gt;"",A52+1,"")</f>
        <v>36</v>
      </c>
      <c r="B53" s="288" t="s">
        <v>427</v>
      </c>
      <c r="C53" s="804">
        <f t="shared" si="5"/>
        <v>3063425</v>
      </c>
      <c r="D53" s="289">
        <f t="shared" si="27"/>
        <v>120702.08678016759</v>
      </c>
      <c r="E53" s="289">
        <f t="shared" si="27"/>
        <v>30090.996424187437</v>
      </c>
      <c r="F53" s="289">
        <f t="shared" si="27"/>
        <v>139684.04760634041</v>
      </c>
      <c r="G53" s="289">
        <f t="shared" si="27"/>
        <v>16064.051875967338</v>
      </c>
      <c r="H53" s="289">
        <f t="shared" si="27"/>
        <v>7245.0232160964933</v>
      </c>
      <c r="I53" s="289">
        <f t="shared" si="27"/>
        <v>30572.50066712921</v>
      </c>
      <c r="J53" s="289"/>
      <c r="K53" s="779">
        <f t="shared" si="21"/>
        <v>3407784</v>
      </c>
      <c r="L53" s="520">
        <v>181</v>
      </c>
      <c r="M53" s="520">
        <f t="shared" si="17"/>
        <v>18827.535911602208</v>
      </c>
      <c r="N53" s="792">
        <v>19720</v>
      </c>
      <c r="O53" s="652"/>
      <c r="P53" s="185" t="s">
        <v>387</v>
      </c>
      <c r="Q53" s="756">
        <v>40691</v>
      </c>
      <c r="R53" s="755"/>
      <c r="S53" s="802">
        <f>L53</f>
        <v>181</v>
      </c>
      <c r="T53" s="784">
        <v>16925</v>
      </c>
      <c r="U53" s="8">
        <f t="shared" si="18"/>
        <v>3063425</v>
      </c>
      <c r="V53" s="439"/>
      <c r="W53" s="756"/>
      <c r="X53" s="782"/>
      <c r="Y53" s="782"/>
      <c r="Z53" s="8">
        <f t="shared" si="19"/>
        <v>0</v>
      </c>
    </row>
    <row r="54" spans="1:26">
      <c r="A54" s="789">
        <f>IF(B54&lt;&gt;"",A53+1,"")</f>
        <v>37</v>
      </c>
      <c r="B54" s="288" t="s">
        <v>517</v>
      </c>
      <c r="C54" s="804">
        <f t="shared" si="5"/>
        <v>284736</v>
      </c>
      <c r="D54" s="289">
        <f t="shared" si="27"/>
        <v>169383.0389069755</v>
      </c>
      <c r="E54" s="289">
        <f t="shared" si="27"/>
        <v>42227.144153279609</v>
      </c>
      <c r="F54" s="289">
        <f t="shared" si="27"/>
        <v>196020.70769066553</v>
      </c>
      <c r="G54" s="289">
        <f t="shared" si="27"/>
        <v>22542.923627048087</v>
      </c>
      <c r="H54" s="289">
        <f t="shared" si="27"/>
        <v>10167.049154080161</v>
      </c>
      <c r="I54" s="289">
        <f t="shared" si="27"/>
        <v>42902.846240059771</v>
      </c>
      <c r="J54" s="520"/>
      <c r="K54" s="779">
        <f t="shared" si="21"/>
        <v>767980</v>
      </c>
      <c r="L54" s="520">
        <v>254</v>
      </c>
      <c r="M54" s="520">
        <f t="shared" si="17"/>
        <v>3023.5433070866143</v>
      </c>
      <c r="N54" s="792">
        <v>2200</v>
      </c>
      <c r="O54" s="652"/>
      <c r="P54" s="185" t="s">
        <v>372</v>
      </c>
      <c r="Q54" s="756">
        <v>40691</v>
      </c>
      <c r="R54" s="755"/>
      <c r="S54" s="292">
        <v>64</v>
      </c>
      <c r="T54" s="251">
        <v>4449</v>
      </c>
      <c r="U54" s="8">
        <f t="shared" si="18"/>
        <v>284736</v>
      </c>
      <c r="V54" s="439"/>
      <c r="W54" s="756"/>
      <c r="X54" s="782"/>
      <c r="Y54" s="782"/>
      <c r="Z54" s="8">
        <f t="shared" si="19"/>
        <v>0</v>
      </c>
    </row>
    <row r="55" spans="1:26">
      <c r="A55" s="738">
        <f>IF(B55&lt;&gt;"",A54+1,"")</f>
        <v>38</v>
      </c>
      <c r="B55" s="287" t="s">
        <v>518</v>
      </c>
      <c r="C55" s="804">
        <f t="shared" si="5"/>
        <v>5241600</v>
      </c>
      <c r="D55" s="739">
        <f t="shared" si="27"/>
        <v>272079.84202380315</v>
      </c>
      <c r="E55" s="739">
        <f t="shared" si="27"/>
        <v>67829.428403693222</v>
      </c>
      <c r="F55" s="739">
        <f t="shared" si="27"/>
        <v>314867.90841650212</v>
      </c>
      <c r="G55" s="739">
        <f t="shared" si="27"/>
        <v>36210.680471793778</v>
      </c>
      <c r="H55" s="739">
        <f t="shared" si="27"/>
        <v>16331.323050648449</v>
      </c>
      <c r="I55" s="739">
        <f t="shared" si="27"/>
        <v>68914.808133639322</v>
      </c>
      <c r="J55" s="348"/>
      <c r="K55" s="779">
        <f t="shared" si="21"/>
        <v>6017834</v>
      </c>
      <c r="L55" s="739">
        <v>408</v>
      </c>
      <c r="M55" s="739">
        <f t="shared" ref="M55:M86" si="28">IF(L55&lt;&gt;"",K55/L55,"")</f>
        <v>14749.593137254902</v>
      </c>
      <c r="N55" s="652">
        <v>15770</v>
      </c>
      <c r="O55" s="652"/>
      <c r="P55" s="287" t="s">
        <v>384</v>
      </c>
      <c r="Q55" s="756">
        <v>40691</v>
      </c>
      <c r="R55" s="755"/>
      <c r="S55" s="292">
        <v>208</v>
      </c>
      <c r="T55" s="249">
        <v>25200</v>
      </c>
      <c r="U55" s="8">
        <f t="shared" si="18"/>
        <v>5241600</v>
      </c>
      <c r="V55" s="439"/>
      <c r="W55" s="756"/>
      <c r="X55" s="782"/>
      <c r="Y55" s="782"/>
      <c r="Z55" s="8">
        <f t="shared" ref="Z55:Z86" si="29">X55*Y55</f>
        <v>0</v>
      </c>
    </row>
    <row r="56" spans="1:26">
      <c r="A56" s="738">
        <f t="shared" ref="A56:A86" si="30">IF(B56&lt;&gt;"",A55+1,"")</f>
        <v>39</v>
      </c>
      <c r="B56" s="287" t="s">
        <v>519</v>
      </c>
      <c r="C56" s="804">
        <f t="shared" si="5"/>
        <v>2764485</v>
      </c>
      <c r="D56" s="739">
        <f t="shared" si="27"/>
        <v>230067.51347601003</v>
      </c>
      <c r="E56" s="739">
        <f t="shared" si="27"/>
        <v>57355.766664887655</v>
      </c>
      <c r="F56" s="739">
        <f t="shared" si="27"/>
        <v>266248.59902865987</v>
      </c>
      <c r="G56" s="739">
        <f t="shared" si="27"/>
        <v>30619.325398943267</v>
      </c>
      <c r="H56" s="739">
        <f t="shared" si="27"/>
        <v>13809.574638415968</v>
      </c>
      <c r="I56" s="739">
        <f t="shared" si="27"/>
        <v>58273.550995356782</v>
      </c>
      <c r="J56" s="348"/>
      <c r="K56" s="779">
        <f t="shared" si="21"/>
        <v>3420859</v>
      </c>
      <c r="L56" s="739">
        <v>345</v>
      </c>
      <c r="M56" s="739">
        <f t="shared" si="28"/>
        <v>9915.5333333333328</v>
      </c>
      <c r="N56" s="652">
        <v>11002</v>
      </c>
      <c r="O56" s="652"/>
      <c r="P56" s="185" t="s">
        <v>399</v>
      </c>
      <c r="Q56" s="756">
        <v>40691</v>
      </c>
      <c r="R56" s="755"/>
      <c r="S56" s="292">
        <f t="shared" ref="S56:S58" si="31">L56</f>
        <v>345</v>
      </c>
      <c r="T56" s="249">
        <v>8013</v>
      </c>
      <c r="U56" s="8">
        <f t="shared" si="18"/>
        <v>2764485</v>
      </c>
      <c r="V56" s="439"/>
      <c r="W56" s="756"/>
      <c r="X56" s="782"/>
      <c r="Y56" s="782"/>
      <c r="Z56" s="8">
        <f t="shared" si="29"/>
        <v>0</v>
      </c>
    </row>
    <row r="57" spans="1:26">
      <c r="A57" s="738">
        <f t="shared" si="30"/>
        <v>40</v>
      </c>
      <c r="B57" s="287" t="s">
        <v>520</v>
      </c>
      <c r="C57" s="804">
        <f t="shared" si="5"/>
        <v>34480</v>
      </c>
      <c r="D57" s="739">
        <f t="shared" si="27"/>
        <v>2667.4494316059136</v>
      </c>
      <c r="E57" s="739">
        <f t="shared" si="27"/>
        <v>664.99439611463947</v>
      </c>
      <c r="F57" s="739">
        <f t="shared" si="27"/>
        <v>3086.9402785931579</v>
      </c>
      <c r="G57" s="739">
        <f t="shared" si="27"/>
        <v>355.00667129209586</v>
      </c>
      <c r="H57" s="739">
        <f t="shared" si="27"/>
        <v>160.11101030047499</v>
      </c>
      <c r="I57" s="739">
        <f t="shared" si="27"/>
        <v>675.63537385920904</v>
      </c>
      <c r="J57" s="348"/>
      <c r="K57" s="779">
        <f t="shared" si="21"/>
        <v>42090</v>
      </c>
      <c r="L57" s="739">
        <v>4</v>
      </c>
      <c r="M57" s="739">
        <f t="shared" si="28"/>
        <v>10522.5</v>
      </c>
      <c r="N57" s="652">
        <v>12279</v>
      </c>
      <c r="O57" s="652"/>
      <c r="P57" s="185" t="s">
        <v>395</v>
      </c>
      <c r="Q57" s="756">
        <v>40691</v>
      </c>
      <c r="R57" s="755"/>
      <c r="S57" s="292">
        <f t="shared" si="31"/>
        <v>4</v>
      </c>
      <c r="T57" s="249">
        <v>8620</v>
      </c>
      <c r="U57" s="8">
        <f t="shared" si="18"/>
        <v>34480</v>
      </c>
      <c r="V57" s="439"/>
      <c r="W57" s="756"/>
      <c r="X57" s="782"/>
      <c r="Y57" s="782"/>
      <c r="Z57" s="8">
        <f t="shared" si="29"/>
        <v>0</v>
      </c>
    </row>
    <row r="58" spans="1:26">
      <c r="A58" s="738">
        <f t="shared" si="30"/>
        <v>41</v>
      </c>
      <c r="B58" s="287" t="s">
        <v>521</v>
      </c>
      <c r="C58" s="804">
        <f t="shared" si="5"/>
        <v>577540</v>
      </c>
      <c r="D58" s="739">
        <f t="shared" ref="D58:I67" si="32">IF($L$149&lt;&gt;0,D$149/$L$149*$L58,0)</f>
        <v>44679.777979399048</v>
      </c>
      <c r="E58" s="739">
        <f t="shared" si="32"/>
        <v>11138.656134920211</v>
      </c>
      <c r="F58" s="739">
        <f t="shared" si="32"/>
        <v>51706.249666435397</v>
      </c>
      <c r="G58" s="739">
        <f t="shared" si="32"/>
        <v>5946.3617441426059</v>
      </c>
      <c r="H58" s="739">
        <f t="shared" si="32"/>
        <v>2681.8594225329562</v>
      </c>
      <c r="I58" s="739">
        <f t="shared" si="32"/>
        <v>11316.892512141751</v>
      </c>
      <c r="J58" s="348"/>
      <c r="K58" s="779">
        <f t="shared" si="21"/>
        <v>705010</v>
      </c>
      <c r="L58" s="739">
        <v>67</v>
      </c>
      <c r="M58" s="739">
        <f t="shared" si="28"/>
        <v>10522.537313432837</v>
      </c>
      <c r="N58" s="652">
        <v>11075</v>
      </c>
      <c r="O58" s="652"/>
      <c r="P58" s="185" t="s">
        <v>395</v>
      </c>
      <c r="Q58" s="756">
        <v>40691</v>
      </c>
      <c r="R58" s="755"/>
      <c r="S58" s="292">
        <f t="shared" si="31"/>
        <v>67</v>
      </c>
      <c r="T58" s="249">
        <v>8620</v>
      </c>
      <c r="U58" s="8">
        <f t="shared" si="18"/>
        <v>577540</v>
      </c>
      <c r="V58" s="439"/>
      <c r="W58" s="756"/>
      <c r="X58" s="782"/>
      <c r="Y58" s="782"/>
      <c r="Z58" s="8">
        <f t="shared" si="29"/>
        <v>0</v>
      </c>
    </row>
    <row r="59" spans="1:26">
      <c r="A59" s="738">
        <f t="shared" si="30"/>
        <v>42</v>
      </c>
      <c r="B59" s="287" t="s">
        <v>522</v>
      </c>
      <c r="C59" s="804">
        <f t="shared" si="5"/>
        <v>399168</v>
      </c>
      <c r="D59" s="739">
        <f t="shared" si="32"/>
        <v>18005.283663339917</v>
      </c>
      <c r="E59" s="739">
        <f t="shared" si="32"/>
        <v>4488.7121737738162</v>
      </c>
      <c r="F59" s="739">
        <f t="shared" si="32"/>
        <v>20836.846880503817</v>
      </c>
      <c r="G59" s="739">
        <f t="shared" si="32"/>
        <v>2396.2950312216472</v>
      </c>
      <c r="H59" s="739">
        <f t="shared" si="32"/>
        <v>1080.7493195282061</v>
      </c>
      <c r="I59" s="739">
        <f t="shared" si="32"/>
        <v>4560.5387735496606</v>
      </c>
      <c r="J59" s="348"/>
      <c r="K59" s="779">
        <f t="shared" si="21"/>
        <v>450536</v>
      </c>
      <c r="L59" s="739">
        <v>27</v>
      </c>
      <c r="M59" s="739">
        <f t="shared" si="28"/>
        <v>16686.518518518518</v>
      </c>
      <c r="N59" s="652">
        <v>15277</v>
      </c>
      <c r="O59" s="652"/>
      <c r="P59" s="185" t="s">
        <v>397</v>
      </c>
      <c r="Q59" s="756">
        <v>40691</v>
      </c>
      <c r="R59" s="755"/>
      <c r="S59" s="292">
        <f>L59</f>
        <v>27</v>
      </c>
      <c r="T59" s="249">
        <v>14784</v>
      </c>
      <c r="U59" s="8">
        <f t="shared" si="18"/>
        <v>399168</v>
      </c>
      <c r="V59" s="439"/>
      <c r="W59" s="756"/>
      <c r="X59" s="782"/>
      <c r="Y59" s="782"/>
      <c r="Z59" s="8">
        <f t="shared" si="29"/>
        <v>0</v>
      </c>
    </row>
    <row r="60" spans="1:26">
      <c r="A60" s="738">
        <f t="shared" si="30"/>
        <v>43</v>
      </c>
      <c r="B60" s="287" t="s">
        <v>523</v>
      </c>
      <c r="C60" s="804">
        <f t="shared" si="5"/>
        <v>97984</v>
      </c>
      <c r="D60" s="739">
        <f t="shared" si="32"/>
        <v>10669.797726423654</v>
      </c>
      <c r="E60" s="739">
        <f t="shared" si="32"/>
        <v>2659.9775844585579</v>
      </c>
      <c r="F60" s="739">
        <f t="shared" si="32"/>
        <v>12347.761114372632</v>
      </c>
      <c r="G60" s="739">
        <f t="shared" si="32"/>
        <v>1420.0266851683834</v>
      </c>
      <c r="H60" s="739">
        <f t="shared" si="32"/>
        <v>640.44404120189995</v>
      </c>
      <c r="I60" s="739">
        <f t="shared" si="32"/>
        <v>2702.5414954368362</v>
      </c>
      <c r="J60" s="348"/>
      <c r="K60" s="779">
        <f t="shared" si="21"/>
        <v>128425</v>
      </c>
      <c r="L60" s="739">
        <v>16</v>
      </c>
      <c r="M60" s="739">
        <f t="shared" si="28"/>
        <v>8026.5625</v>
      </c>
      <c r="N60" s="652">
        <v>9352</v>
      </c>
      <c r="O60" s="652"/>
      <c r="P60" s="185" t="s">
        <v>371</v>
      </c>
      <c r="Q60" s="756">
        <v>40691</v>
      </c>
      <c r="R60" s="755"/>
      <c r="S60" s="292">
        <f>L60</f>
        <v>16</v>
      </c>
      <c r="T60" s="249">
        <v>6124</v>
      </c>
      <c r="U60" s="8">
        <f t="shared" si="18"/>
        <v>97984</v>
      </c>
      <c r="V60" s="439"/>
      <c r="W60" s="756"/>
      <c r="X60" s="782"/>
      <c r="Y60" s="782"/>
      <c r="Z60" s="8">
        <f t="shared" si="29"/>
        <v>0</v>
      </c>
    </row>
    <row r="61" spans="1:26">
      <c r="A61" s="738">
        <f t="shared" si="30"/>
        <v>44</v>
      </c>
      <c r="B61" s="287" t="s">
        <v>524</v>
      </c>
      <c r="C61" s="804">
        <f t="shared" si="5"/>
        <v>1877568</v>
      </c>
      <c r="D61" s="739">
        <f t="shared" si="32"/>
        <v>84691.519453487752</v>
      </c>
      <c r="E61" s="739">
        <f t="shared" si="32"/>
        <v>21113.572076639804</v>
      </c>
      <c r="F61" s="739">
        <f t="shared" si="32"/>
        <v>98010.353845332764</v>
      </c>
      <c r="G61" s="739">
        <f t="shared" si="32"/>
        <v>11271.461813524043</v>
      </c>
      <c r="H61" s="739">
        <f t="shared" si="32"/>
        <v>5083.5245770400807</v>
      </c>
      <c r="I61" s="739">
        <f t="shared" si="32"/>
        <v>21451.423120029885</v>
      </c>
      <c r="J61" s="348"/>
      <c r="K61" s="779">
        <f t="shared" si="21"/>
        <v>2119190</v>
      </c>
      <c r="L61" s="739">
        <v>127</v>
      </c>
      <c r="M61" s="739">
        <f t="shared" si="28"/>
        <v>16686.535433070865</v>
      </c>
      <c r="N61" s="652">
        <v>17979</v>
      </c>
      <c r="O61" s="652"/>
      <c r="P61" s="185" t="s">
        <v>397</v>
      </c>
      <c r="Q61" s="756">
        <v>40691</v>
      </c>
      <c r="R61" s="755"/>
      <c r="S61" s="292">
        <f>L61</f>
        <v>127</v>
      </c>
      <c r="T61" s="249">
        <v>14784</v>
      </c>
      <c r="U61" s="8">
        <f t="shared" si="18"/>
        <v>1877568</v>
      </c>
      <c r="V61" s="439"/>
      <c r="W61" s="756"/>
      <c r="X61" s="782"/>
      <c r="Y61" s="782"/>
      <c r="Z61" s="8">
        <f t="shared" si="29"/>
        <v>0</v>
      </c>
    </row>
    <row r="62" spans="1:26">
      <c r="A62" s="738">
        <f t="shared" si="30"/>
        <v>45</v>
      </c>
      <c r="B62" s="287" t="s">
        <v>525</v>
      </c>
      <c r="C62" s="804">
        <f t="shared" si="5"/>
        <v>22245</v>
      </c>
      <c r="D62" s="739">
        <f t="shared" si="32"/>
        <v>3334.3117895073919</v>
      </c>
      <c r="E62" s="739">
        <f t="shared" si="32"/>
        <v>831.24299514329937</v>
      </c>
      <c r="F62" s="739">
        <f t="shared" si="32"/>
        <v>3858.6753482414474</v>
      </c>
      <c r="G62" s="739">
        <f t="shared" si="32"/>
        <v>443.75833911511984</v>
      </c>
      <c r="H62" s="739">
        <f t="shared" si="32"/>
        <v>200.13876287559373</v>
      </c>
      <c r="I62" s="739">
        <f t="shared" si="32"/>
        <v>844.54421732401124</v>
      </c>
      <c r="J62" s="348"/>
      <c r="K62" s="779">
        <f t="shared" si="21"/>
        <v>31758</v>
      </c>
      <c r="L62" s="739">
        <v>5</v>
      </c>
      <c r="M62" s="739">
        <f t="shared" si="28"/>
        <v>6351.6</v>
      </c>
      <c r="N62" s="652">
        <v>5282</v>
      </c>
      <c r="O62" s="652"/>
      <c r="P62" s="287" t="s">
        <v>372</v>
      </c>
      <c r="Q62" s="756">
        <v>40691</v>
      </c>
      <c r="R62" s="755"/>
      <c r="S62" s="292">
        <f>L62</f>
        <v>5</v>
      </c>
      <c r="T62" s="251">
        <v>4449</v>
      </c>
      <c r="U62" s="8">
        <f t="shared" ref="U62:U86" si="33">S62*T62</f>
        <v>22245</v>
      </c>
      <c r="V62" s="439"/>
      <c r="W62" s="756"/>
      <c r="X62" s="782"/>
      <c r="Y62" s="782"/>
      <c r="Z62" s="8">
        <f t="shared" si="29"/>
        <v>0</v>
      </c>
    </row>
    <row r="63" spans="1:26">
      <c r="A63" s="738">
        <f t="shared" si="30"/>
        <v>46</v>
      </c>
      <c r="B63" s="287" t="s">
        <v>526</v>
      </c>
      <c r="C63" s="804">
        <f t="shared" si="5"/>
        <v>25860</v>
      </c>
      <c r="D63" s="739">
        <f t="shared" si="32"/>
        <v>2000.5870737044352</v>
      </c>
      <c r="E63" s="739">
        <f t="shared" si="32"/>
        <v>498.74579708597958</v>
      </c>
      <c r="F63" s="739">
        <f t="shared" si="32"/>
        <v>2315.2052089448684</v>
      </c>
      <c r="G63" s="739">
        <f t="shared" si="32"/>
        <v>266.25500346907188</v>
      </c>
      <c r="H63" s="739">
        <f t="shared" si="32"/>
        <v>120.08325772535625</v>
      </c>
      <c r="I63" s="739">
        <f t="shared" si="32"/>
        <v>506.72653039440678</v>
      </c>
      <c r="J63" s="348"/>
      <c r="K63" s="779">
        <f t="shared" si="21"/>
        <v>31568</v>
      </c>
      <c r="L63" s="739">
        <v>3</v>
      </c>
      <c r="M63" s="739">
        <f t="shared" si="28"/>
        <v>10522.666666666666</v>
      </c>
      <c r="N63" s="652">
        <v>11444</v>
      </c>
      <c r="O63" s="652"/>
      <c r="P63" s="185" t="s">
        <v>395</v>
      </c>
      <c r="Q63" s="756">
        <v>40691</v>
      </c>
      <c r="R63" s="755"/>
      <c r="S63" s="292">
        <f t="shared" ref="S63:S69" si="34">L63</f>
        <v>3</v>
      </c>
      <c r="T63" s="249">
        <v>8620</v>
      </c>
      <c r="U63" s="8">
        <f t="shared" si="33"/>
        <v>25860</v>
      </c>
      <c r="V63" s="439"/>
      <c r="W63" s="756"/>
      <c r="X63" s="782"/>
      <c r="Y63" s="782"/>
      <c r="Z63" s="8">
        <f t="shared" si="29"/>
        <v>0</v>
      </c>
    </row>
    <row r="64" spans="1:26">
      <c r="A64" s="738">
        <f t="shared" si="30"/>
        <v>47</v>
      </c>
      <c r="B64" s="287" t="s">
        <v>527</v>
      </c>
      <c r="C64" s="804">
        <f t="shared" si="5"/>
        <v>193500</v>
      </c>
      <c r="D64" s="739">
        <f t="shared" si="32"/>
        <v>8002.3482948177407</v>
      </c>
      <c r="E64" s="739">
        <f t="shared" si="32"/>
        <v>1994.9831883439183</v>
      </c>
      <c r="F64" s="739">
        <f t="shared" si="32"/>
        <v>9260.8208357794738</v>
      </c>
      <c r="G64" s="739">
        <f t="shared" si="32"/>
        <v>1065.0200138762875</v>
      </c>
      <c r="H64" s="739">
        <f t="shared" si="32"/>
        <v>480.33303090142499</v>
      </c>
      <c r="I64" s="739">
        <f t="shared" si="32"/>
        <v>2026.9061215776271</v>
      </c>
      <c r="J64" s="348"/>
      <c r="K64" s="779">
        <f t="shared" si="21"/>
        <v>216330</v>
      </c>
      <c r="L64" s="739">
        <v>12</v>
      </c>
      <c r="M64" s="739">
        <f t="shared" si="28"/>
        <v>18027.5</v>
      </c>
      <c r="N64" s="652">
        <v>19788</v>
      </c>
      <c r="O64" s="652"/>
      <c r="P64" s="287" t="s">
        <v>383</v>
      </c>
      <c r="Q64" s="756">
        <v>40691</v>
      </c>
      <c r="R64" s="755"/>
      <c r="S64" s="802">
        <f t="shared" si="34"/>
        <v>12</v>
      </c>
      <c r="T64" s="249">
        <v>16125</v>
      </c>
      <c r="U64" s="8">
        <f t="shared" si="33"/>
        <v>193500</v>
      </c>
      <c r="V64" s="439"/>
      <c r="W64" s="756"/>
      <c r="X64" s="782"/>
      <c r="Y64" s="782"/>
      <c r="Z64" s="8">
        <f t="shared" si="29"/>
        <v>0</v>
      </c>
    </row>
    <row r="65" spans="1:26">
      <c r="A65" s="738">
        <f t="shared" si="30"/>
        <v>48</v>
      </c>
      <c r="B65" s="287" t="s">
        <v>528</v>
      </c>
      <c r="C65" s="804">
        <f t="shared" si="5"/>
        <v>57600</v>
      </c>
      <c r="D65" s="739">
        <f t="shared" si="32"/>
        <v>6001.7612211133055</v>
      </c>
      <c r="E65" s="739">
        <f t="shared" si="32"/>
        <v>1496.2373912579387</v>
      </c>
      <c r="F65" s="739">
        <f t="shared" si="32"/>
        <v>6945.6156268346058</v>
      </c>
      <c r="G65" s="739">
        <f t="shared" si="32"/>
        <v>798.76501040721564</v>
      </c>
      <c r="H65" s="739">
        <f t="shared" si="32"/>
        <v>360.24977317606874</v>
      </c>
      <c r="I65" s="739">
        <f t="shared" si="32"/>
        <v>1520.1795911832203</v>
      </c>
      <c r="J65" s="348"/>
      <c r="K65" s="779">
        <f t="shared" si="21"/>
        <v>74723</v>
      </c>
      <c r="L65" s="739">
        <v>9</v>
      </c>
      <c r="M65" s="739">
        <f t="shared" si="28"/>
        <v>8302.5555555555547</v>
      </c>
      <c r="N65" s="652">
        <v>8450</v>
      </c>
      <c r="O65" s="652"/>
      <c r="P65" s="185" t="s">
        <v>400</v>
      </c>
      <c r="Q65" s="756">
        <v>40691</v>
      </c>
      <c r="R65" s="755"/>
      <c r="S65" s="292">
        <f t="shared" si="34"/>
        <v>9</v>
      </c>
      <c r="T65" s="251">
        <v>6400</v>
      </c>
      <c r="U65" s="8">
        <f t="shared" si="33"/>
        <v>57600</v>
      </c>
      <c r="V65" s="439"/>
      <c r="W65" s="756"/>
      <c r="X65" s="782"/>
      <c r="Y65" s="782"/>
      <c r="Z65" s="8">
        <f t="shared" si="29"/>
        <v>0</v>
      </c>
    </row>
    <row r="66" spans="1:26">
      <c r="A66" s="738">
        <f t="shared" si="30"/>
        <v>49</v>
      </c>
      <c r="B66" s="287" t="s">
        <v>529</v>
      </c>
      <c r="C66" s="804">
        <f t="shared" si="5"/>
        <v>68960</v>
      </c>
      <c r="D66" s="739">
        <f t="shared" si="32"/>
        <v>5334.8988632118271</v>
      </c>
      <c r="E66" s="739">
        <f t="shared" si="32"/>
        <v>1329.9887922292789</v>
      </c>
      <c r="F66" s="739">
        <f t="shared" si="32"/>
        <v>6173.8805571863159</v>
      </c>
      <c r="G66" s="739">
        <f t="shared" si="32"/>
        <v>710.01334258419172</v>
      </c>
      <c r="H66" s="739">
        <f t="shared" si="32"/>
        <v>320.22202060094997</v>
      </c>
      <c r="I66" s="739">
        <f t="shared" si="32"/>
        <v>1351.2707477184181</v>
      </c>
      <c r="J66" s="348"/>
      <c r="K66" s="779">
        <f t="shared" si="21"/>
        <v>84180</v>
      </c>
      <c r="L66" s="739">
        <v>8</v>
      </c>
      <c r="M66" s="739">
        <f t="shared" si="28"/>
        <v>10522.5</v>
      </c>
      <c r="N66" s="652">
        <v>10110</v>
      </c>
      <c r="O66" s="652"/>
      <c r="P66" s="185" t="s">
        <v>395</v>
      </c>
      <c r="Q66" s="756">
        <v>40691</v>
      </c>
      <c r="R66" s="755"/>
      <c r="S66" s="292">
        <f t="shared" si="34"/>
        <v>8</v>
      </c>
      <c r="T66" s="249">
        <v>8620</v>
      </c>
      <c r="U66" s="8">
        <f t="shared" si="33"/>
        <v>68960</v>
      </c>
      <c r="V66" s="439"/>
      <c r="W66" s="756"/>
      <c r="X66" s="782"/>
      <c r="Y66" s="782"/>
      <c r="Z66" s="8">
        <f t="shared" si="29"/>
        <v>0</v>
      </c>
    </row>
    <row r="67" spans="1:26">
      <c r="A67" s="738">
        <f t="shared" si="30"/>
        <v>50</v>
      </c>
      <c r="B67" s="287" t="s">
        <v>530</v>
      </c>
      <c r="C67" s="804">
        <f t="shared" si="5"/>
        <v>60340</v>
      </c>
      <c r="D67" s="739">
        <f t="shared" si="32"/>
        <v>4668.0365053103487</v>
      </c>
      <c r="E67" s="739">
        <f t="shared" si="32"/>
        <v>1163.7401932006192</v>
      </c>
      <c r="F67" s="739">
        <f t="shared" si="32"/>
        <v>5402.1454875380259</v>
      </c>
      <c r="G67" s="739">
        <f t="shared" si="32"/>
        <v>621.2616747611678</v>
      </c>
      <c r="H67" s="739">
        <f t="shared" si="32"/>
        <v>280.19426802583121</v>
      </c>
      <c r="I67" s="739">
        <f t="shared" si="32"/>
        <v>1182.3619042536159</v>
      </c>
      <c r="J67" s="348"/>
      <c r="K67" s="779">
        <f t="shared" si="21"/>
        <v>73658</v>
      </c>
      <c r="L67" s="739">
        <v>7</v>
      </c>
      <c r="M67" s="739">
        <f t="shared" si="28"/>
        <v>10522.571428571429</v>
      </c>
      <c r="N67" s="652">
        <v>10345</v>
      </c>
      <c r="O67" s="652"/>
      <c r="P67" s="185" t="s">
        <v>395</v>
      </c>
      <c r="Q67" s="756">
        <v>40691</v>
      </c>
      <c r="R67" s="755"/>
      <c r="S67" s="292">
        <f t="shared" si="34"/>
        <v>7</v>
      </c>
      <c r="T67" s="249">
        <v>8620</v>
      </c>
      <c r="U67" s="8">
        <f t="shared" si="33"/>
        <v>60340</v>
      </c>
      <c r="V67" s="439"/>
      <c r="W67" s="756"/>
      <c r="X67" s="782"/>
      <c r="Y67" s="782"/>
      <c r="Z67" s="8">
        <f t="shared" si="29"/>
        <v>0</v>
      </c>
    </row>
    <row r="68" spans="1:26">
      <c r="A68" s="738">
        <f t="shared" si="30"/>
        <v>51</v>
      </c>
      <c r="B68" s="287" t="s">
        <v>531</v>
      </c>
      <c r="C68" s="804">
        <f t="shared" si="5"/>
        <v>150631</v>
      </c>
      <c r="D68" s="739">
        <f t="shared" ref="D68:I77" si="35">IF($L$149&lt;&gt;0,D$149/$L$149*$L68,0)</f>
        <v>8669.2106527192191</v>
      </c>
      <c r="E68" s="739">
        <f t="shared" si="35"/>
        <v>2161.2317873725783</v>
      </c>
      <c r="F68" s="739">
        <f t="shared" si="35"/>
        <v>10032.555905427764</v>
      </c>
      <c r="G68" s="739">
        <f t="shared" si="35"/>
        <v>1153.7716816993116</v>
      </c>
      <c r="H68" s="739">
        <f t="shared" si="35"/>
        <v>520.3607834765437</v>
      </c>
      <c r="I68" s="739">
        <f t="shared" si="35"/>
        <v>2195.8149650424293</v>
      </c>
      <c r="J68" s="348"/>
      <c r="K68" s="779">
        <f t="shared" si="21"/>
        <v>175364</v>
      </c>
      <c r="L68" s="739">
        <v>13</v>
      </c>
      <c r="M68" s="739">
        <f t="shared" si="28"/>
        <v>13489.538461538461</v>
      </c>
      <c r="N68" s="652">
        <v>12672</v>
      </c>
      <c r="O68" s="652"/>
      <c r="P68" s="185" t="s">
        <v>391</v>
      </c>
      <c r="Q68" s="756">
        <v>40691</v>
      </c>
      <c r="R68" s="755"/>
      <c r="S68" s="292">
        <f t="shared" si="34"/>
        <v>13</v>
      </c>
      <c r="T68" s="784">
        <v>11587</v>
      </c>
      <c r="U68" s="8">
        <f t="shared" si="33"/>
        <v>150631</v>
      </c>
      <c r="V68" s="439"/>
      <c r="W68" s="756"/>
      <c r="X68" s="782"/>
      <c r="Y68" s="782"/>
      <c r="Z68" s="8">
        <f t="shared" si="29"/>
        <v>0</v>
      </c>
    </row>
    <row r="69" spans="1:26">
      <c r="A69" s="738">
        <f t="shared" si="30"/>
        <v>52</v>
      </c>
      <c r="B69" s="287" t="s">
        <v>532</v>
      </c>
      <c r="C69" s="804">
        <f t="shared" si="5"/>
        <v>57935</v>
      </c>
      <c r="D69" s="739">
        <f t="shared" si="35"/>
        <v>3334.3117895073919</v>
      </c>
      <c r="E69" s="739">
        <f t="shared" si="35"/>
        <v>831.24299514329937</v>
      </c>
      <c r="F69" s="739">
        <f t="shared" si="35"/>
        <v>3858.6753482414474</v>
      </c>
      <c r="G69" s="739">
        <f t="shared" si="35"/>
        <v>443.75833911511984</v>
      </c>
      <c r="H69" s="739">
        <f t="shared" si="35"/>
        <v>200.13876287559373</v>
      </c>
      <c r="I69" s="739">
        <f t="shared" si="35"/>
        <v>844.54421732401124</v>
      </c>
      <c r="J69" s="348"/>
      <c r="K69" s="779">
        <f t="shared" si="21"/>
        <v>67448</v>
      </c>
      <c r="L69" s="739">
        <v>5</v>
      </c>
      <c r="M69" s="739">
        <f t="shared" si="28"/>
        <v>13489.6</v>
      </c>
      <c r="N69" s="652">
        <v>12304</v>
      </c>
      <c r="O69" s="652"/>
      <c r="P69" s="185" t="s">
        <v>391</v>
      </c>
      <c r="Q69" s="756">
        <v>40691</v>
      </c>
      <c r="R69" s="755"/>
      <c r="S69" s="292">
        <f t="shared" si="34"/>
        <v>5</v>
      </c>
      <c r="T69" s="784">
        <v>11587</v>
      </c>
      <c r="U69" s="8">
        <f t="shared" si="33"/>
        <v>57935</v>
      </c>
      <c r="V69" s="439"/>
      <c r="W69" s="756"/>
      <c r="X69" s="782"/>
      <c r="Y69" s="782"/>
      <c r="Z69" s="8">
        <f t="shared" si="29"/>
        <v>0</v>
      </c>
    </row>
    <row r="70" spans="1:26">
      <c r="A70" s="738">
        <f t="shared" si="30"/>
        <v>53</v>
      </c>
      <c r="B70" s="287" t="s">
        <v>533</v>
      </c>
      <c r="C70" s="804">
        <f t="shared" si="5"/>
        <v>362164</v>
      </c>
      <c r="D70" s="739">
        <f t="shared" si="35"/>
        <v>14670.971873832525</v>
      </c>
      <c r="E70" s="739">
        <f t="shared" si="35"/>
        <v>3657.469178630517</v>
      </c>
      <c r="F70" s="739">
        <f t="shared" si="35"/>
        <v>16978.171532262368</v>
      </c>
      <c r="G70" s="739">
        <f t="shared" si="35"/>
        <v>1952.5366921065272</v>
      </c>
      <c r="H70" s="739">
        <f t="shared" si="35"/>
        <v>880.61055665261244</v>
      </c>
      <c r="I70" s="739">
        <f t="shared" si="35"/>
        <v>3715.9945562256498</v>
      </c>
      <c r="J70" s="348"/>
      <c r="K70" s="779">
        <f t="shared" si="21"/>
        <v>404020</v>
      </c>
      <c r="L70" s="739">
        <v>22</v>
      </c>
      <c r="M70" s="739">
        <f t="shared" si="28"/>
        <v>18364.545454545456</v>
      </c>
      <c r="N70" s="652">
        <v>18862</v>
      </c>
      <c r="O70" s="652"/>
      <c r="P70" s="185" t="s">
        <v>390</v>
      </c>
      <c r="Q70" s="756">
        <v>40691</v>
      </c>
      <c r="R70" s="755"/>
      <c r="S70" s="292">
        <v>22</v>
      </c>
      <c r="T70" s="784">
        <v>16462</v>
      </c>
      <c r="U70" s="8">
        <f t="shared" si="33"/>
        <v>362164</v>
      </c>
      <c r="V70" s="439"/>
      <c r="W70" s="756"/>
      <c r="X70" s="782"/>
      <c r="Y70" s="782"/>
      <c r="Z70" s="8">
        <f t="shared" si="29"/>
        <v>0</v>
      </c>
    </row>
    <row r="71" spans="1:26">
      <c r="A71" s="738">
        <f t="shared" si="30"/>
        <v>54</v>
      </c>
      <c r="B71" s="287" t="s">
        <v>534</v>
      </c>
      <c r="C71" s="804">
        <f t="shared" si="5"/>
        <v>1500380</v>
      </c>
      <c r="D71" s="739">
        <f t="shared" si="35"/>
        <v>163381.27768586221</v>
      </c>
      <c r="E71" s="739">
        <f t="shared" si="35"/>
        <v>40730.906762021667</v>
      </c>
      <c r="F71" s="739">
        <f t="shared" si="35"/>
        <v>189075.09206383093</v>
      </c>
      <c r="G71" s="739">
        <f t="shared" si="35"/>
        <v>21744.158616640871</v>
      </c>
      <c r="H71" s="739">
        <f t="shared" si="35"/>
        <v>9806.7993809040927</v>
      </c>
      <c r="I71" s="739">
        <f t="shared" si="35"/>
        <v>41382.666648876555</v>
      </c>
      <c r="J71" s="348"/>
      <c r="K71" s="779">
        <f t="shared" si="21"/>
        <v>1966501</v>
      </c>
      <c r="L71" s="739">
        <v>245</v>
      </c>
      <c r="M71" s="739">
        <f t="shared" si="28"/>
        <v>8026.534693877551</v>
      </c>
      <c r="N71" s="652">
        <v>9989</v>
      </c>
      <c r="O71" s="652"/>
      <c r="P71" s="185" t="s">
        <v>371</v>
      </c>
      <c r="Q71" s="756">
        <v>40691</v>
      </c>
      <c r="R71" s="755"/>
      <c r="S71" s="292">
        <f>L71</f>
        <v>245</v>
      </c>
      <c r="T71" s="249">
        <v>6124</v>
      </c>
      <c r="U71" s="8">
        <f t="shared" si="33"/>
        <v>1500380</v>
      </c>
      <c r="V71" s="439"/>
      <c r="W71" s="756"/>
      <c r="X71" s="782"/>
      <c r="Y71" s="782"/>
      <c r="Z71" s="8">
        <f t="shared" si="29"/>
        <v>0</v>
      </c>
    </row>
    <row r="72" spans="1:26">
      <c r="A72" s="738">
        <f t="shared" si="30"/>
        <v>55</v>
      </c>
      <c r="B72" s="287" t="s">
        <v>535</v>
      </c>
      <c r="C72" s="804">
        <f t="shared" si="5"/>
        <v>9720774</v>
      </c>
      <c r="D72" s="739">
        <f t="shared" si="35"/>
        <v>286083.9515397342</v>
      </c>
      <c r="E72" s="739">
        <f t="shared" si="35"/>
        <v>71320.64898329509</v>
      </c>
      <c r="F72" s="739">
        <f t="shared" si="35"/>
        <v>331074.34487911616</v>
      </c>
      <c r="G72" s="739">
        <f t="shared" si="35"/>
        <v>38074.465496077282</v>
      </c>
      <c r="H72" s="739">
        <f t="shared" si="35"/>
        <v>17171.905854725941</v>
      </c>
      <c r="I72" s="739">
        <f t="shared" si="35"/>
        <v>72461.893846400169</v>
      </c>
      <c r="J72" s="348"/>
      <c r="K72" s="779">
        <f t="shared" si="21"/>
        <v>10536961</v>
      </c>
      <c r="L72" s="739">
        <v>429</v>
      </c>
      <c r="M72" s="739">
        <f t="shared" si="28"/>
        <v>24561.680652680654</v>
      </c>
      <c r="N72" s="652">
        <v>25535</v>
      </c>
      <c r="O72" s="652"/>
      <c r="P72" s="185" t="s">
        <v>388</v>
      </c>
      <c r="Q72" s="756">
        <v>40691</v>
      </c>
      <c r="R72" s="755"/>
      <c r="S72" s="292">
        <v>431</v>
      </c>
      <c r="T72" s="251">
        <v>22554</v>
      </c>
      <c r="U72" s="8">
        <f t="shared" si="33"/>
        <v>9720774</v>
      </c>
      <c r="V72" s="439"/>
      <c r="W72" s="756"/>
      <c r="X72" s="782"/>
      <c r="Y72" s="782"/>
      <c r="Z72" s="8">
        <f t="shared" si="29"/>
        <v>0</v>
      </c>
    </row>
    <row r="73" spans="1:26">
      <c r="A73" s="738">
        <f t="shared" si="30"/>
        <v>56</v>
      </c>
      <c r="B73" s="287" t="s">
        <v>524</v>
      </c>
      <c r="C73" s="804">
        <f t="shared" si="5"/>
        <v>325248</v>
      </c>
      <c r="D73" s="739">
        <f t="shared" si="35"/>
        <v>14670.971873832525</v>
      </c>
      <c r="E73" s="739">
        <f t="shared" si="35"/>
        <v>3657.469178630517</v>
      </c>
      <c r="F73" s="739">
        <f t="shared" si="35"/>
        <v>16978.171532262368</v>
      </c>
      <c r="G73" s="739">
        <f t="shared" si="35"/>
        <v>1952.5366921065272</v>
      </c>
      <c r="H73" s="739">
        <f t="shared" si="35"/>
        <v>880.61055665261244</v>
      </c>
      <c r="I73" s="739">
        <f t="shared" si="35"/>
        <v>3715.9945562256498</v>
      </c>
      <c r="J73" s="348"/>
      <c r="K73" s="779">
        <f t="shared" si="21"/>
        <v>367104</v>
      </c>
      <c r="L73" s="739">
        <v>22</v>
      </c>
      <c r="M73" s="739">
        <f t="shared" si="28"/>
        <v>16686.545454545456</v>
      </c>
      <c r="N73" s="652">
        <v>17979</v>
      </c>
      <c r="O73" s="652"/>
      <c r="P73" s="185" t="s">
        <v>397</v>
      </c>
      <c r="Q73" s="756">
        <v>40691</v>
      </c>
      <c r="R73" s="755"/>
      <c r="S73" s="292">
        <f t="shared" ref="S73:S77" si="36">L73</f>
        <v>22</v>
      </c>
      <c r="T73" s="249">
        <v>14784</v>
      </c>
      <c r="U73" s="8">
        <f t="shared" si="33"/>
        <v>325248</v>
      </c>
      <c r="V73" s="439"/>
      <c r="W73" s="756"/>
      <c r="X73" s="782"/>
      <c r="Y73" s="782"/>
      <c r="Z73" s="8">
        <f t="shared" si="29"/>
        <v>0</v>
      </c>
    </row>
    <row r="74" spans="1:26">
      <c r="A74" s="738">
        <f t="shared" si="30"/>
        <v>57</v>
      </c>
      <c r="B74" s="287" t="s">
        <v>536</v>
      </c>
      <c r="C74" s="804">
        <f t="shared" si="5"/>
        <v>59136</v>
      </c>
      <c r="D74" s="739">
        <f t="shared" si="35"/>
        <v>2667.4494316059136</v>
      </c>
      <c r="E74" s="739">
        <f t="shared" si="35"/>
        <v>664.99439611463947</v>
      </c>
      <c r="F74" s="739">
        <f t="shared" si="35"/>
        <v>3086.9402785931579</v>
      </c>
      <c r="G74" s="739">
        <f t="shared" si="35"/>
        <v>355.00667129209586</v>
      </c>
      <c r="H74" s="739">
        <f t="shared" si="35"/>
        <v>160.11101030047499</v>
      </c>
      <c r="I74" s="739">
        <f t="shared" si="35"/>
        <v>675.63537385920904</v>
      </c>
      <c r="J74" s="348"/>
      <c r="K74" s="779">
        <f t="shared" si="21"/>
        <v>66746</v>
      </c>
      <c r="L74" s="739">
        <v>4</v>
      </c>
      <c r="M74" s="739">
        <f t="shared" si="28"/>
        <v>16686.5</v>
      </c>
      <c r="N74" s="652">
        <v>16852</v>
      </c>
      <c r="O74" s="652"/>
      <c r="P74" s="185" t="s">
        <v>397</v>
      </c>
      <c r="Q74" s="756">
        <v>40691</v>
      </c>
      <c r="R74" s="755"/>
      <c r="S74" s="292">
        <f t="shared" si="36"/>
        <v>4</v>
      </c>
      <c r="T74" s="249">
        <v>14784</v>
      </c>
      <c r="U74" s="8">
        <f t="shared" si="33"/>
        <v>59136</v>
      </c>
      <c r="V74" s="439"/>
      <c r="W74" s="756"/>
      <c r="X74" s="782"/>
      <c r="Y74" s="782"/>
      <c r="Z74" s="8">
        <f t="shared" si="29"/>
        <v>0</v>
      </c>
    </row>
    <row r="75" spans="1:26">
      <c r="A75" s="738">
        <f t="shared" si="30"/>
        <v>58</v>
      </c>
      <c r="B75" s="287" t="s">
        <v>537</v>
      </c>
      <c r="C75" s="804">
        <f t="shared" si="5"/>
        <v>26996</v>
      </c>
      <c r="D75" s="739">
        <f t="shared" si="35"/>
        <v>1333.7247158029568</v>
      </c>
      <c r="E75" s="739">
        <f t="shared" si="35"/>
        <v>332.49719805731974</v>
      </c>
      <c r="F75" s="739">
        <f t="shared" si="35"/>
        <v>1543.470139296579</v>
      </c>
      <c r="G75" s="739">
        <f t="shared" si="35"/>
        <v>177.50333564604793</v>
      </c>
      <c r="H75" s="739">
        <f t="shared" si="35"/>
        <v>80.055505150237494</v>
      </c>
      <c r="I75" s="739">
        <f t="shared" si="35"/>
        <v>337.81768692960452</v>
      </c>
      <c r="J75" s="348"/>
      <c r="K75" s="779">
        <f t="shared" si="21"/>
        <v>30801</v>
      </c>
      <c r="L75" s="739">
        <v>2</v>
      </c>
      <c r="M75" s="739">
        <f t="shared" si="28"/>
        <v>15400.5</v>
      </c>
      <c r="N75" s="652">
        <v>16052</v>
      </c>
      <c r="O75" s="652"/>
      <c r="P75" s="185" t="s">
        <v>392</v>
      </c>
      <c r="Q75" s="756">
        <v>40691</v>
      </c>
      <c r="R75" s="755"/>
      <c r="S75" s="292">
        <f t="shared" si="36"/>
        <v>2</v>
      </c>
      <c r="T75" s="251">
        <v>13498</v>
      </c>
      <c r="U75" s="8">
        <f t="shared" si="33"/>
        <v>26996</v>
      </c>
      <c r="V75" s="439"/>
      <c r="W75" s="756"/>
      <c r="X75" s="782"/>
      <c r="Y75" s="782"/>
      <c r="Z75" s="8">
        <f t="shared" si="29"/>
        <v>0</v>
      </c>
    </row>
    <row r="76" spans="1:26">
      <c r="A76" s="738">
        <f t="shared" si="30"/>
        <v>59</v>
      </c>
      <c r="B76" s="287" t="s">
        <v>518</v>
      </c>
      <c r="C76" s="804">
        <f t="shared" si="5"/>
        <v>40494</v>
      </c>
      <c r="D76" s="739">
        <f t="shared" si="35"/>
        <v>2000.5870737044352</v>
      </c>
      <c r="E76" s="739">
        <f t="shared" si="35"/>
        <v>498.74579708597958</v>
      </c>
      <c r="F76" s="739">
        <f t="shared" si="35"/>
        <v>2315.2052089448684</v>
      </c>
      <c r="G76" s="739">
        <f t="shared" si="35"/>
        <v>266.25500346907188</v>
      </c>
      <c r="H76" s="739">
        <f t="shared" si="35"/>
        <v>120.08325772535625</v>
      </c>
      <c r="I76" s="739">
        <f t="shared" si="35"/>
        <v>506.72653039440678</v>
      </c>
      <c r="J76" s="348"/>
      <c r="K76" s="779">
        <f t="shared" si="21"/>
        <v>46202</v>
      </c>
      <c r="L76" s="739">
        <v>3</v>
      </c>
      <c r="M76" s="739">
        <f t="shared" si="28"/>
        <v>15400.666666666666</v>
      </c>
      <c r="N76" s="652">
        <v>15770</v>
      </c>
      <c r="O76" s="652"/>
      <c r="P76" s="185" t="s">
        <v>392</v>
      </c>
      <c r="Q76" s="756">
        <v>40691</v>
      </c>
      <c r="R76" s="755"/>
      <c r="S76" s="292">
        <f t="shared" si="36"/>
        <v>3</v>
      </c>
      <c r="T76" s="251">
        <v>13498</v>
      </c>
      <c r="U76" s="8">
        <f t="shared" si="33"/>
        <v>40494</v>
      </c>
      <c r="V76" s="439"/>
      <c r="W76" s="756"/>
      <c r="X76" s="782"/>
      <c r="Y76" s="782"/>
      <c r="Z76" s="8">
        <f t="shared" si="29"/>
        <v>0</v>
      </c>
    </row>
    <row r="77" spans="1:26">
      <c r="A77" s="738">
        <f t="shared" si="30"/>
        <v>60</v>
      </c>
      <c r="B77" s="287" t="s">
        <v>522</v>
      </c>
      <c r="C77" s="804">
        <f t="shared" si="5"/>
        <v>13498</v>
      </c>
      <c r="D77" s="739">
        <f t="shared" si="35"/>
        <v>666.86235790147839</v>
      </c>
      <c r="E77" s="739">
        <f t="shared" si="35"/>
        <v>166.24859902865987</v>
      </c>
      <c r="F77" s="739">
        <f t="shared" si="35"/>
        <v>771.73506964828948</v>
      </c>
      <c r="G77" s="739">
        <f t="shared" si="35"/>
        <v>88.751667823023965</v>
      </c>
      <c r="H77" s="739">
        <f t="shared" si="35"/>
        <v>40.027752575118747</v>
      </c>
      <c r="I77" s="739">
        <f t="shared" si="35"/>
        <v>168.90884346480226</v>
      </c>
      <c r="J77" s="348"/>
      <c r="K77" s="779">
        <f t="shared" si="21"/>
        <v>15401</v>
      </c>
      <c r="L77" s="739">
        <v>1</v>
      </c>
      <c r="M77" s="739">
        <f t="shared" si="28"/>
        <v>15401</v>
      </c>
      <c r="N77" s="652">
        <v>15277</v>
      </c>
      <c r="O77" s="652"/>
      <c r="P77" s="185" t="s">
        <v>392</v>
      </c>
      <c r="Q77" s="756">
        <v>40691</v>
      </c>
      <c r="R77" s="755"/>
      <c r="S77" s="292">
        <f t="shared" si="36"/>
        <v>1</v>
      </c>
      <c r="T77" s="251">
        <v>13498</v>
      </c>
      <c r="U77" s="8">
        <f t="shared" si="33"/>
        <v>13498</v>
      </c>
      <c r="V77" s="439"/>
      <c r="W77" s="756"/>
      <c r="X77" s="782"/>
      <c r="Y77" s="782"/>
      <c r="Z77" s="8">
        <f t="shared" si="29"/>
        <v>0</v>
      </c>
    </row>
    <row r="78" spans="1:26">
      <c r="A78" s="738">
        <f t="shared" si="30"/>
        <v>61</v>
      </c>
      <c r="B78" s="287" t="s">
        <v>519</v>
      </c>
      <c r="C78" s="804">
        <f t="shared" si="5"/>
        <v>40065</v>
      </c>
      <c r="D78" s="739">
        <f t="shared" ref="D78:I87" si="37">IF($L$149&lt;&gt;0,D$149/$L$149*$L78,0)</f>
        <v>3334.3117895073919</v>
      </c>
      <c r="E78" s="739">
        <f t="shared" si="37"/>
        <v>831.24299514329937</v>
      </c>
      <c r="F78" s="739">
        <f t="shared" si="37"/>
        <v>3858.6753482414474</v>
      </c>
      <c r="G78" s="739">
        <f t="shared" si="37"/>
        <v>443.75833911511984</v>
      </c>
      <c r="H78" s="739">
        <f t="shared" si="37"/>
        <v>200.13876287559373</v>
      </c>
      <c r="I78" s="739">
        <f t="shared" si="37"/>
        <v>844.54421732401124</v>
      </c>
      <c r="J78" s="348"/>
      <c r="K78" s="779">
        <f t="shared" si="21"/>
        <v>49578</v>
      </c>
      <c r="L78" s="739">
        <v>5</v>
      </c>
      <c r="M78" s="739">
        <f t="shared" si="28"/>
        <v>9915.6</v>
      </c>
      <c r="N78" s="652">
        <v>11002</v>
      </c>
      <c r="O78" s="652"/>
      <c r="P78" s="185" t="s">
        <v>399</v>
      </c>
      <c r="Q78" s="756">
        <v>40691</v>
      </c>
      <c r="R78" s="755"/>
      <c r="S78" s="292">
        <f>L78</f>
        <v>5</v>
      </c>
      <c r="T78" s="249">
        <v>8013</v>
      </c>
      <c r="U78" s="8">
        <f t="shared" si="33"/>
        <v>40065</v>
      </c>
      <c r="V78" s="439"/>
      <c r="W78" s="756"/>
      <c r="X78" s="782"/>
      <c r="Y78" s="782"/>
      <c r="Z78" s="8">
        <f t="shared" si="29"/>
        <v>0</v>
      </c>
    </row>
    <row r="79" spans="1:26">
      <c r="A79" s="738">
        <f t="shared" si="30"/>
        <v>62</v>
      </c>
      <c r="B79" s="287" t="s">
        <v>540</v>
      </c>
      <c r="C79" s="804">
        <f t="shared" si="5"/>
        <v>5275116</v>
      </c>
      <c r="D79" s="739">
        <f t="shared" si="37"/>
        <v>229400.65111810857</v>
      </c>
      <c r="E79" s="739">
        <f t="shared" si="37"/>
        <v>57189.518065858996</v>
      </c>
      <c r="F79" s="739">
        <f t="shared" si="37"/>
        <v>265476.86395901156</v>
      </c>
      <c r="G79" s="739">
        <f t="shared" si="37"/>
        <v>30530.573731120243</v>
      </c>
      <c r="H79" s="739">
        <f t="shared" si="37"/>
        <v>13769.546885840849</v>
      </c>
      <c r="I79" s="739">
        <f t="shared" si="37"/>
        <v>58104.642151891974</v>
      </c>
      <c r="J79" s="348"/>
      <c r="K79" s="779">
        <f t="shared" si="21"/>
        <v>5929588</v>
      </c>
      <c r="L79" s="739">
        <v>344</v>
      </c>
      <c r="M79" s="739">
        <f t="shared" si="28"/>
        <v>17237.174418604653</v>
      </c>
      <c r="N79" s="652">
        <v>19248</v>
      </c>
      <c r="O79" s="652"/>
      <c r="P79" s="185" t="s">
        <v>398</v>
      </c>
      <c r="Q79" s="756">
        <v>40691</v>
      </c>
      <c r="R79" s="755"/>
      <c r="S79" s="802">
        <v>346</v>
      </c>
      <c r="T79" s="249">
        <v>15246</v>
      </c>
      <c r="U79" s="8">
        <f t="shared" si="33"/>
        <v>5275116</v>
      </c>
      <c r="V79" s="439"/>
      <c r="W79" s="756"/>
      <c r="X79" s="782"/>
      <c r="Y79" s="782"/>
      <c r="Z79" s="8">
        <f t="shared" si="29"/>
        <v>0</v>
      </c>
    </row>
    <row r="80" spans="1:26">
      <c r="A80" s="738">
        <f t="shared" si="30"/>
        <v>63</v>
      </c>
      <c r="B80" s="287" t="s">
        <v>538</v>
      </c>
      <c r="C80" s="804">
        <f t="shared" si="5"/>
        <v>1063311</v>
      </c>
      <c r="D80" s="739">
        <f t="shared" si="37"/>
        <v>159380.10353845335</v>
      </c>
      <c r="E80" s="739">
        <f t="shared" si="37"/>
        <v>39733.415167849707</v>
      </c>
      <c r="F80" s="739">
        <f t="shared" si="37"/>
        <v>184444.68164594119</v>
      </c>
      <c r="G80" s="739">
        <f t="shared" si="37"/>
        <v>21211.648609702726</v>
      </c>
      <c r="H80" s="739">
        <f t="shared" si="37"/>
        <v>9566.6328654533809</v>
      </c>
      <c r="I80" s="739">
        <f t="shared" si="37"/>
        <v>40369.213588087739</v>
      </c>
      <c r="J80" s="348"/>
      <c r="K80" s="779">
        <f t="shared" si="21"/>
        <v>1518017</v>
      </c>
      <c r="L80" s="739">
        <v>239</v>
      </c>
      <c r="M80" s="739">
        <f t="shared" si="28"/>
        <v>6351.5355648535569</v>
      </c>
      <c r="N80" s="652">
        <v>6577</v>
      </c>
      <c r="O80" s="652"/>
      <c r="P80" s="287" t="s">
        <v>372</v>
      </c>
      <c r="Q80" s="756">
        <v>40691</v>
      </c>
      <c r="R80" s="755"/>
      <c r="S80" s="292">
        <f>L80</f>
        <v>239</v>
      </c>
      <c r="T80" s="251">
        <v>4449</v>
      </c>
      <c r="U80" s="8">
        <f t="shared" si="33"/>
        <v>1063311</v>
      </c>
      <c r="V80" s="439"/>
      <c r="W80" s="756"/>
      <c r="X80" s="782"/>
      <c r="Y80" s="782"/>
      <c r="Z80" s="8">
        <f t="shared" si="29"/>
        <v>0</v>
      </c>
    </row>
    <row r="81" spans="1:26">
      <c r="A81" s="738">
        <f t="shared" si="30"/>
        <v>64</v>
      </c>
      <c r="B81" s="287" t="s">
        <v>539</v>
      </c>
      <c r="C81" s="804">
        <f t="shared" si="5"/>
        <v>226899</v>
      </c>
      <c r="D81" s="739">
        <f t="shared" si="37"/>
        <v>68019.960505950789</v>
      </c>
      <c r="E81" s="739">
        <f t="shared" si="37"/>
        <v>16957.357100923306</v>
      </c>
      <c r="F81" s="739">
        <f t="shared" si="37"/>
        <v>78716.97710412553</v>
      </c>
      <c r="G81" s="739">
        <f t="shared" si="37"/>
        <v>9052.6701179484444</v>
      </c>
      <c r="H81" s="739">
        <f t="shared" si="37"/>
        <v>4082.8307626621122</v>
      </c>
      <c r="I81" s="739">
        <f t="shared" si="37"/>
        <v>17228.702033409831</v>
      </c>
      <c r="J81" s="348"/>
      <c r="K81" s="779">
        <f t="shared" si="21"/>
        <v>420957</v>
      </c>
      <c r="L81" s="739">
        <v>102</v>
      </c>
      <c r="M81" s="739">
        <f t="shared" si="28"/>
        <v>4127.0294117647063</v>
      </c>
      <c r="N81" s="652">
        <v>4704</v>
      </c>
      <c r="O81" s="652"/>
      <c r="P81" s="185" t="s">
        <v>372</v>
      </c>
      <c r="Q81" s="756">
        <v>40691</v>
      </c>
      <c r="R81" s="755"/>
      <c r="S81" s="292">
        <f>L81/2</f>
        <v>51</v>
      </c>
      <c r="T81" s="251">
        <v>4449</v>
      </c>
      <c r="U81" s="8">
        <f t="shared" si="33"/>
        <v>226899</v>
      </c>
      <c r="V81" s="439"/>
      <c r="W81" s="756"/>
      <c r="X81" s="782"/>
      <c r="Y81" s="782"/>
      <c r="Z81" s="8">
        <f t="shared" si="29"/>
        <v>0</v>
      </c>
    </row>
    <row r="82" spans="1:26">
      <c r="A82" s="738">
        <f t="shared" si="30"/>
        <v>65</v>
      </c>
      <c r="B82" s="287" t="s">
        <v>541</v>
      </c>
      <c r="C82" s="804">
        <f t="shared" si="5"/>
        <v>302400</v>
      </c>
      <c r="D82" s="739">
        <f t="shared" si="37"/>
        <v>16004.696589635481</v>
      </c>
      <c r="E82" s="739">
        <f t="shared" si="37"/>
        <v>3989.9663766878366</v>
      </c>
      <c r="F82" s="739">
        <f t="shared" si="37"/>
        <v>18521.641671558948</v>
      </c>
      <c r="G82" s="739">
        <f t="shared" si="37"/>
        <v>2130.040027752575</v>
      </c>
      <c r="H82" s="739">
        <f t="shared" si="37"/>
        <v>960.66606180284998</v>
      </c>
      <c r="I82" s="739">
        <f t="shared" si="37"/>
        <v>4053.8122431552542</v>
      </c>
      <c r="J82" s="348"/>
      <c r="K82" s="779">
        <f t="shared" si="21"/>
        <v>348061</v>
      </c>
      <c r="L82" s="739">
        <v>24</v>
      </c>
      <c r="M82" s="739">
        <f t="shared" si="28"/>
        <v>14502.541666666666</v>
      </c>
      <c r="N82" s="652">
        <v>14056</v>
      </c>
      <c r="O82" s="652"/>
      <c r="P82" s="287" t="s">
        <v>384</v>
      </c>
      <c r="Q82" s="756">
        <v>40691</v>
      </c>
      <c r="R82" s="755"/>
      <c r="S82" s="292">
        <v>12</v>
      </c>
      <c r="T82" s="249">
        <v>25200</v>
      </c>
      <c r="U82" s="8">
        <f t="shared" si="33"/>
        <v>302400</v>
      </c>
      <c r="V82" s="439"/>
      <c r="W82" s="756"/>
      <c r="X82" s="782"/>
      <c r="Y82" s="782"/>
      <c r="Z82" s="8">
        <f t="shared" si="29"/>
        <v>0</v>
      </c>
    </row>
    <row r="83" spans="1:26">
      <c r="A83" s="738">
        <f t="shared" si="30"/>
        <v>66</v>
      </c>
      <c r="B83" s="287" t="s">
        <v>535</v>
      </c>
      <c r="C83" s="804">
        <f t="shared" ref="C83:C146" si="38">U83</f>
        <v>4713786</v>
      </c>
      <c r="D83" s="739">
        <f t="shared" si="37"/>
        <v>138707.37044350751</v>
      </c>
      <c r="E83" s="739">
        <f t="shared" si="37"/>
        <v>34579.708597961253</v>
      </c>
      <c r="F83" s="739">
        <f t="shared" si="37"/>
        <v>160520.89448684422</v>
      </c>
      <c r="G83" s="739">
        <f t="shared" si="37"/>
        <v>18460.346907188985</v>
      </c>
      <c r="H83" s="739">
        <f t="shared" si="37"/>
        <v>8325.7725356246992</v>
      </c>
      <c r="I83" s="739">
        <f t="shared" si="37"/>
        <v>35133.039440678869</v>
      </c>
      <c r="J83" s="348"/>
      <c r="K83" s="779">
        <f t="shared" ref="K83:K146" si="39">ROUND(SUM(C83:I83),0)</f>
        <v>5109513</v>
      </c>
      <c r="L83" s="739">
        <v>208</v>
      </c>
      <c r="M83" s="739">
        <f t="shared" si="28"/>
        <v>24564.966346153848</v>
      </c>
      <c r="N83" s="652">
        <v>25535</v>
      </c>
      <c r="O83" s="652"/>
      <c r="P83" s="185" t="s">
        <v>388</v>
      </c>
      <c r="Q83" s="756">
        <v>40691</v>
      </c>
      <c r="R83" s="755"/>
      <c r="S83" s="292">
        <v>209</v>
      </c>
      <c r="T83" s="251">
        <v>22554</v>
      </c>
      <c r="U83" s="8">
        <f t="shared" si="33"/>
        <v>4713786</v>
      </c>
      <c r="V83" s="439"/>
      <c r="W83" s="756"/>
      <c r="X83" s="782"/>
      <c r="Y83" s="782"/>
      <c r="Z83" s="8">
        <f t="shared" si="29"/>
        <v>0</v>
      </c>
    </row>
    <row r="84" spans="1:26">
      <c r="A84" s="738">
        <f t="shared" si="30"/>
        <v>67</v>
      </c>
      <c r="B84" s="287" t="s">
        <v>542</v>
      </c>
      <c r="C84" s="804">
        <f t="shared" si="38"/>
        <v>1264900</v>
      </c>
      <c r="D84" s="739">
        <f t="shared" si="37"/>
        <v>34009.980252975394</v>
      </c>
      <c r="E84" s="739">
        <f t="shared" si="37"/>
        <v>8478.6785504616528</v>
      </c>
      <c r="F84" s="739">
        <f t="shared" si="37"/>
        <v>39358.488552062765</v>
      </c>
      <c r="G84" s="739">
        <f t="shared" si="37"/>
        <v>4526.3350589742222</v>
      </c>
      <c r="H84" s="739">
        <f t="shared" si="37"/>
        <v>2041.4153813310561</v>
      </c>
      <c r="I84" s="739">
        <f t="shared" si="37"/>
        <v>8614.3510167049153</v>
      </c>
      <c r="J84" s="348"/>
      <c r="K84" s="779">
        <f t="shared" si="39"/>
        <v>1361929</v>
      </c>
      <c r="L84" s="739">
        <v>51</v>
      </c>
      <c r="M84" s="739">
        <f t="shared" si="28"/>
        <v>26704.49019607843</v>
      </c>
      <c r="N84" s="652">
        <v>27650</v>
      </c>
      <c r="O84" s="652"/>
      <c r="P84" s="185" t="s">
        <v>375</v>
      </c>
      <c r="Q84" s="756">
        <v>40691</v>
      </c>
      <c r="R84" s="755"/>
      <c r="S84" s="292">
        <v>52</v>
      </c>
      <c r="T84" s="251">
        <v>24325</v>
      </c>
      <c r="U84" s="8">
        <f t="shared" si="33"/>
        <v>1264900</v>
      </c>
      <c r="V84" s="439"/>
      <c r="W84" s="756"/>
      <c r="X84" s="782"/>
      <c r="Y84" s="782"/>
      <c r="Z84" s="8">
        <f t="shared" si="29"/>
        <v>0</v>
      </c>
    </row>
    <row r="85" spans="1:26">
      <c r="A85" s="738">
        <f t="shared" si="30"/>
        <v>68</v>
      </c>
      <c r="B85" s="287" t="s">
        <v>543</v>
      </c>
      <c r="C85" s="804">
        <f t="shared" si="38"/>
        <v>9628696</v>
      </c>
      <c r="D85" s="739">
        <f t="shared" si="37"/>
        <v>270746.11730800022</v>
      </c>
      <c r="E85" s="739">
        <f t="shared" si="37"/>
        <v>67496.931205635905</v>
      </c>
      <c r="F85" s="739">
        <f t="shared" si="37"/>
        <v>313324.43827720551</v>
      </c>
      <c r="G85" s="739">
        <f t="shared" si="37"/>
        <v>36033.177136147729</v>
      </c>
      <c r="H85" s="739">
        <f t="shared" si="37"/>
        <v>16251.267545498211</v>
      </c>
      <c r="I85" s="739">
        <f t="shared" si="37"/>
        <v>68576.990446709722</v>
      </c>
      <c r="J85" s="348"/>
      <c r="K85" s="779">
        <f t="shared" si="39"/>
        <v>10401125</v>
      </c>
      <c r="L85" s="739">
        <v>406</v>
      </c>
      <c r="M85" s="739">
        <f t="shared" si="28"/>
        <v>25618.53448275862</v>
      </c>
      <c r="N85" s="652">
        <v>26855</v>
      </c>
      <c r="O85" s="652"/>
      <c r="P85" s="185" t="s">
        <v>389</v>
      </c>
      <c r="Q85" s="756">
        <v>40691</v>
      </c>
      <c r="R85" s="755"/>
      <c r="S85" s="292">
        <v>406</v>
      </c>
      <c r="T85" s="251">
        <v>23716</v>
      </c>
      <c r="U85" s="8">
        <f t="shared" si="33"/>
        <v>9628696</v>
      </c>
      <c r="V85" s="439"/>
      <c r="W85" s="756"/>
      <c r="X85" s="782"/>
      <c r="Y85" s="782"/>
      <c r="Z85" s="8">
        <f t="shared" si="29"/>
        <v>0</v>
      </c>
    </row>
    <row r="86" spans="1:26">
      <c r="A86" s="738">
        <f t="shared" si="30"/>
        <v>69</v>
      </c>
      <c r="B86" s="287" t="s">
        <v>544</v>
      </c>
      <c r="C86" s="804">
        <f t="shared" si="38"/>
        <v>222450</v>
      </c>
      <c r="D86" s="739">
        <f t="shared" si="37"/>
        <v>33343.117895073919</v>
      </c>
      <c r="E86" s="739">
        <f t="shared" si="37"/>
        <v>8312.4299514329941</v>
      </c>
      <c r="F86" s="739">
        <f t="shared" si="37"/>
        <v>38586.753482414475</v>
      </c>
      <c r="G86" s="739">
        <f t="shared" si="37"/>
        <v>4437.5833911511982</v>
      </c>
      <c r="H86" s="739">
        <f t="shared" si="37"/>
        <v>2001.3876287559374</v>
      </c>
      <c r="I86" s="739">
        <f t="shared" si="37"/>
        <v>8445.4421732401133</v>
      </c>
      <c r="J86" s="348"/>
      <c r="K86" s="779">
        <f t="shared" si="39"/>
        <v>317577</v>
      </c>
      <c r="L86" s="739">
        <v>50</v>
      </c>
      <c r="M86" s="739">
        <f t="shared" si="28"/>
        <v>6351.54</v>
      </c>
      <c r="N86" s="652">
        <v>5286</v>
      </c>
      <c r="O86" s="652"/>
      <c r="P86" s="287" t="s">
        <v>372</v>
      </c>
      <c r="Q86" s="756">
        <v>40691</v>
      </c>
      <c r="R86" s="755"/>
      <c r="S86" s="292">
        <f>L86</f>
        <v>50</v>
      </c>
      <c r="T86" s="251">
        <v>4449</v>
      </c>
      <c r="U86" s="8">
        <f t="shared" si="33"/>
        <v>222450</v>
      </c>
      <c r="V86" s="439"/>
      <c r="W86" s="756"/>
      <c r="X86" s="782"/>
      <c r="Y86" s="782"/>
      <c r="Z86" s="8">
        <f t="shared" si="29"/>
        <v>0</v>
      </c>
    </row>
    <row r="87" spans="1:26">
      <c r="A87" s="738">
        <f t="shared" ref="A87:A100" si="40">IF(B87&lt;&gt;"",A86+1,"")</f>
        <v>70</v>
      </c>
      <c r="B87" s="287" t="s">
        <v>545</v>
      </c>
      <c r="C87" s="804">
        <f t="shared" si="38"/>
        <v>75633</v>
      </c>
      <c r="D87" s="739">
        <f t="shared" si="37"/>
        <v>45346.640337300531</v>
      </c>
      <c r="E87" s="739">
        <f t="shared" si="37"/>
        <v>11304.904733948872</v>
      </c>
      <c r="F87" s="739">
        <f t="shared" si="37"/>
        <v>52477.984736083687</v>
      </c>
      <c r="G87" s="739">
        <f t="shared" si="37"/>
        <v>6035.1134119656299</v>
      </c>
      <c r="H87" s="739">
        <f t="shared" si="37"/>
        <v>2721.8871751080746</v>
      </c>
      <c r="I87" s="739">
        <f t="shared" si="37"/>
        <v>11485.801355606554</v>
      </c>
      <c r="J87" s="348"/>
      <c r="K87" s="779">
        <f t="shared" si="39"/>
        <v>205005</v>
      </c>
      <c r="L87" s="739">
        <v>68</v>
      </c>
      <c r="M87" s="739">
        <f t="shared" ref="M87:M100" si="41">IF(L87&lt;&gt;"",K87/L87,"")</f>
        <v>3014.7794117647059</v>
      </c>
      <c r="N87" s="652">
        <v>2734</v>
      </c>
      <c r="O87" s="652"/>
      <c r="P87" s="185" t="s">
        <v>372</v>
      </c>
      <c r="Q87" s="756">
        <v>40691</v>
      </c>
      <c r="R87" s="755"/>
      <c r="S87" s="292">
        <f t="shared" ref="S87:S89" si="42">L87/4</f>
        <v>17</v>
      </c>
      <c r="T87" s="251">
        <v>4449</v>
      </c>
      <c r="U87" s="8">
        <f t="shared" ref="U87:U100" si="43">S87*T87</f>
        <v>75633</v>
      </c>
      <c r="V87" s="439"/>
      <c r="W87" s="756"/>
      <c r="X87" s="782"/>
      <c r="Y87" s="782"/>
      <c r="Z87" s="8">
        <f t="shared" ref="Z87:Z100" si="44">X87*Y87</f>
        <v>0</v>
      </c>
    </row>
    <row r="88" spans="1:26">
      <c r="A88" s="738">
        <f t="shared" si="40"/>
        <v>71</v>
      </c>
      <c r="B88" s="287" t="s">
        <v>546</v>
      </c>
      <c r="C88" s="804">
        <f t="shared" si="38"/>
        <v>333675</v>
      </c>
      <c r="D88" s="739">
        <f t="shared" ref="D88:I97" si="45">IF($L$149&lt;&gt;0,D$149/$L$149*$L88,0)</f>
        <v>200058.7073704435</v>
      </c>
      <c r="E88" s="739">
        <f t="shared" si="45"/>
        <v>49874.579708597958</v>
      </c>
      <c r="F88" s="739">
        <f t="shared" si="45"/>
        <v>231520.52089448684</v>
      </c>
      <c r="G88" s="739">
        <f t="shared" si="45"/>
        <v>26625.500346907189</v>
      </c>
      <c r="H88" s="739">
        <f t="shared" si="45"/>
        <v>12008.325772535623</v>
      </c>
      <c r="I88" s="739">
        <f t="shared" si="45"/>
        <v>50672.65303944068</v>
      </c>
      <c r="J88" s="348"/>
      <c r="K88" s="779">
        <f t="shared" si="39"/>
        <v>904435</v>
      </c>
      <c r="L88" s="739">
        <v>300</v>
      </c>
      <c r="M88" s="739">
        <f t="shared" si="41"/>
        <v>3014.7833333333333</v>
      </c>
      <c r="N88" s="652">
        <v>3065</v>
      </c>
      <c r="O88" s="652"/>
      <c r="P88" s="185" t="s">
        <v>372</v>
      </c>
      <c r="Q88" s="756">
        <v>40691</v>
      </c>
      <c r="R88" s="755"/>
      <c r="S88" s="292">
        <f t="shared" si="42"/>
        <v>75</v>
      </c>
      <c r="T88" s="251">
        <v>4449</v>
      </c>
      <c r="U88" s="8">
        <f t="shared" si="43"/>
        <v>333675</v>
      </c>
      <c r="V88" s="439"/>
      <c r="W88" s="756"/>
      <c r="X88" s="782"/>
      <c r="Y88" s="782"/>
      <c r="Z88" s="8">
        <f t="shared" si="44"/>
        <v>0</v>
      </c>
    </row>
    <row r="89" spans="1:26">
      <c r="A89" s="738">
        <f t="shared" si="40"/>
        <v>72</v>
      </c>
      <c r="B89" s="287" t="s">
        <v>547</v>
      </c>
      <c r="C89" s="804">
        <f t="shared" si="38"/>
        <v>44490</v>
      </c>
      <c r="D89" s="739">
        <f t="shared" si="45"/>
        <v>26674.494316059136</v>
      </c>
      <c r="E89" s="739">
        <f t="shared" si="45"/>
        <v>6649.9439611463949</v>
      </c>
      <c r="F89" s="739">
        <f t="shared" si="45"/>
        <v>30869.402785931579</v>
      </c>
      <c r="G89" s="739">
        <f t="shared" si="45"/>
        <v>3550.0667129209587</v>
      </c>
      <c r="H89" s="739">
        <f t="shared" si="45"/>
        <v>1601.1101030047498</v>
      </c>
      <c r="I89" s="739">
        <f t="shared" si="45"/>
        <v>6756.3537385920899</v>
      </c>
      <c r="J89" s="348"/>
      <c r="K89" s="779">
        <f t="shared" si="39"/>
        <v>120591</v>
      </c>
      <c r="L89" s="739">
        <v>40</v>
      </c>
      <c r="M89" s="739">
        <f t="shared" si="41"/>
        <v>3014.7750000000001</v>
      </c>
      <c r="N89" s="652">
        <v>3778</v>
      </c>
      <c r="O89" s="652"/>
      <c r="P89" s="185" t="s">
        <v>372</v>
      </c>
      <c r="Q89" s="756">
        <v>40691</v>
      </c>
      <c r="R89" s="755"/>
      <c r="S89" s="292">
        <f t="shared" si="42"/>
        <v>10</v>
      </c>
      <c r="T89" s="251">
        <v>4449</v>
      </c>
      <c r="U89" s="8">
        <f t="shared" si="43"/>
        <v>44490</v>
      </c>
      <c r="V89" s="439"/>
      <c r="W89" s="756"/>
      <c r="X89" s="782"/>
      <c r="Y89" s="782"/>
      <c r="Z89" s="8">
        <f t="shared" si="44"/>
        <v>0</v>
      </c>
    </row>
    <row r="90" spans="1:26">
      <c r="A90" s="738">
        <f t="shared" si="40"/>
        <v>73</v>
      </c>
      <c r="B90" s="287" t="s">
        <v>548</v>
      </c>
      <c r="C90" s="804">
        <f t="shared" si="38"/>
        <v>75633</v>
      </c>
      <c r="D90" s="739">
        <f t="shared" si="45"/>
        <v>22673.320168650265</v>
      </c>
      <c r="E90" s="739">
        <f t="shared" si="45"/>
        <v>5652.4523669744358</v>
      </c>
      <c r="F90" s="739">
        <f t="shared" si="45"/>
        <v>26238.992368041843</v>
      </c>
      <c r="G90" s="739">
        <f t="shared" si="45"/>
        <v>3017.5567059828149</v>
      </c>
      <c r="H90" s="739">
        <f t="shared" si="45"/>
        <v>1360.9435875540373</v>
      </c>
      <c r="I90" s="739">
        <f t="shared" si="45"/>
        <v>5742.9006778032772</v>
      </c>
      <c r="J90" s="348"/>
      <c r="K90" s="779">
        <f t="shared" si="39"/>
        <v>140319</v>
      </c>
      <c r="L90" s="739">
        <v>34</v>
      </c>
      <c r="M90" s="739">
        <f t="shared" si="41"/>
        <v>4127.0294117647063</v>
      </c>
      <c r="N90" s="652">
        <v>4913</v>
      </c>
      <c r="O90" s="652"/>
      <c r="P90" s="185" t="s">
        <v>372</v>
      </c>
      <c r="Q90" s="756">
        <v>40691</v>
      </c>
      <c r="R90" s="755"/>
      <c r="S90" s="292">
        <f t="shared" ref="S90:S91" si="46">L90/2</f>
        <v>17</v>
      </c>
      <c r="T90" s="251">
        <v>4449</v>
      </c>
      <c r="U90" s="8">
        <f t="shared" si="43"/>
        <v>75633</v>
      </c>
      <c r="V90" s="439"/>
      <c r="W90" s="756"/>
      <c r="X90" s="782"/>
      <c r="Y90" s="782"/>
      <c r="Z90" s="8">
        <f t="shared" si="44"/>
        <v>0</v>
      </c>
    </row>
    <row r="91" spans="1:26">
      <c r="A91" s="738">
        <f t="shared" si="40"/>
        <v>74</v>
      </c>
      <c r="B91" s="287" t="s">
        <v>549</v>
      </c>
      <c r="C91" s="804">
        <f t="shared" si="38"/>
        <v>311430</v>
      </c>
      <c r="D91" s="739">
        <f t="shared" si="45"/>
        <v>93360.730106206975</v>
      </c>
      <c r="E91" s="739">
        <f t="shared" si="45"/>
        <v>23274.803864012381</v>
      </c>
      <c r="F91" s="739">
        <f t="shared" si="45"/>
        <v>108042.90975076053</v>
      </c>
      <c r="G91" s="739">
        <f t="shared" si="45"/>
        <v>12425.233495223356</v>
      </c>
      <c r="H91" s="739">
        <f t="shared" si="45"/>
        <v>5603.8853605166241</v>
      </c>
      <c r="I91" s="739">
        <f t="shared" si="45"/>
        <v>23647.238085072317</v>
      </c>
      <c r="J91" s="348"/>
      <c r="K91" s="779">
        <f t="shared" si="39"/>
        <v>577785</v>
      </c>
      <c r="L91" s="739">
        <v>140</v>
      </c>
      <c r="M91" s="739">
        <f t="shared" si="41"/>
        <v>4127.0357142857147</v>
      </c>
      <c r="N91" s="652">
        <v>4320</v>
      </c>
      <c r="O91" s="652"/>
      <c r="P91" s="185" t="s">
        <v>372</v>
      </c>
      <c r="Q91" s="756">
        <v>40691</v>
      </c>
      <c r="R91" s="755"/>
      <c r="S91" s="292">
        <f t="shared" si="46"/>
        <v>70</v>
      </c>
      <c r="T91" s="251">
        <v>4449</v>
      </c>
      <c r="U91" s="8">
        <f t="shared" si="43"/>
        <v>311430</v>
      </c>
      <c r="V91" s="439"/>
      <c r="W91" s="756"/>
      <c r="X91" s="782"/>
      <c r="Y91" s="782"/>
      <c r="Z91" s="8">
        <f t="shared" si="44"/>
        <v>0</v>
      </c>
    </row>
    <row r="92" spans="1:26">
      <c r="A92" s="738">
        <f t="shared" si="40"/>
        <v>75</v>
      </c>
      <c r="B92" s="287" t="s">
        <v>550</v>
      </c>
      <c r="C92" s="804">
        <f t="shared" si="38"/>
        <v>1121820</v>
      </c>
      <c r="D92" s="739">
        <f t="shared" si="45"/>
        <v>93360.730106206975</v>
      </c>
      <c r="E92" s="739">
        <f t="shared" si="45"/>
        <v>23274.803864012381</v>
      </c>
      <c r="F92" s="739">
        <f t="shared" si="45"/>
        <v>108042.90975076053</v>
      </c>
      <c r="G92" s="739">
        <f t="shared" si="45"/>
        <v>12425.233495223356</v>
      </c>
      <c r="H92" s="739">
        <f t="shared" si="45"/>
        <v>5603.8853605166241</v>
      </c>
      <c r="I92" s="739">
        <f t="shared" si="45"/>
        <v>23647.238085072317</v>
      </c>
      <c r="J92" s="348"/>
      <c r="K92" s="779">
        <f t="shared" si="39"/>
        <v>1388175</v>
      </c>
      <c r="L92" s="739">
        <v>140</v>
      </c>
      <c r="M92" s="739">
        <f t="shared" si="41"/>
        <v>9915.5357142857138</v>
      </c>
      <c r="N92" s="652">
        <v>11516</v>
      </c>
      <c r="O92" s="652"/>
      <c r="P92" s="185" t="s">
        <v>399</v>
      </c>
      <c r="Q92" s="756">
        <v>40691</v>
      </c>
      <c r="R92" s="755"/>
      <c r="S92" s="292">
        <f>L92</f>
        <v>140</v>
      </c>
      <c r="T92" s="249">
        <v>8013</v>
      </c>
      <c r="U92" s="8">
        <f t="shared" si="43"/>
        <v>1121820</v>
      </c>
      <c r="V92" s="439"/>
      <c r="W92" s="756"/>
      <c r="X92" s="782"/>
      <c r="Y92" s="782"/>
      <c r="Z92" s="8">
        <f t="shared" si="44"/>
        <v>0</v>
      </c>
    </row>
    <row r="93" spans="1:26">
      <c r="A93" s="738">
        <f t="shared" si="40"/>
        <v>76</v>
      </c>
      <c r="B93" s="287" t="s">
        <v>541</v>
      </c>
      <c r="C93" s="804">
        <f t="shared" si="38"/>
        <v>126000</v>
      </c>
      <c r="D93" s="739">
        <f t="shared" si="45"/>
        <v>6668.6235790147839</v>
      </c>
      <c r="E93" s="739">
        <f t="shared" si="45"/>
        <v>1662.4859902865987</v>
      </c>
      <c r="F93" s="739">
        <f t="shared" si="45"/>
        <v>7717.3506964828948</v>
      </c>
      <c r="G93" s="739">
        <f t="shared" si="45"/>
        <v>887.51667823023968</v>
      </c>
      <c r="H93" s="739">
        <f t="shared" si="45"/>
        <v>400.27752575118745</v>
      </c>
      <c r="I93" s="739">
        <f t="shared" si="45"/>
        <v>1689.0884346480225</v>
      </c>
      <c r="J93" s="348"/>
      <c r="K93" s="779">
        <f t="shared" si="39"/>
        <v>145025</v>
      </c>
      <c r="L93" s="739">
        <v>10</v>
      </c>
      <c r="M93" s="739">
        <f t="shared" si="41"/>
        <v>14502.5</v>
      </c>
      <c r="N93" s="652">
        <v>14056</v>
      </c>
      <c r="O93" s="652"/>
      <c r="P93" s="287" t="s">
        <v>384</v>
      </c>
      <c r="Q93" s="756">
        <v>40691</v>
      </c>
      <c r="R93" s="755"/>
      <c r="S93" s="292">
        <v>5</v>
      </c>
      <c r="T93" s="249">
        <v>25200</v>
      </c>
      <c r="U93" s="8">
        <f t="shared" si="43"/>
        <v>126000</v>
      </c>
      <c r="V93" s="439"/>
      <c r="W93" s="756"/>
      <c r="X93" s="782"/>
      <c r="Y93" s="782"/>
      <c r="Z93" s="8">
        <f t="shared" si="44"/>
        <v>0</v>
      </c>
    </row>
    <row r="94" spans="1:26">
      <c r="A94" s="738">
        <f t="shared" si="40"/>
        <v>77</v>
      </c>
      <c r="B94" s="287" t="s">
        <v>551</v>
      </c>
      <c r="C94" s="804">
        <f t="shared" si="38"/>
        <v>586160</v>
      </c>
      <c r="D94" s="739">
        <f t="shared" si="45"/>
        <v>45346.640337300531</v>
      </c>
      <c r="E94" s="739">
        <f t="shared" si="45"/>
        <v>11304.904733948872</v>
      </c>
      <c r="F94" s="739">
        <f t="shared" si="45"/>
        <v>52477.984736083687</v>
      </c>
      <c r="G94" s="739">
        <f t="shared" si="45"/>
        <v>6035.1134119656299</v>
      </c>
      <c r="H94" s="739">
        <f t="shared" si="45"/>
        <v>2721.8871751080746</v>
      </c>
      <c r="I94" s="739">
        <f t="shared" si="45"/>
        <v>11485.801355606554</v>
      </c>
      <c r="J94" s="348"/>
      <c r="K94" s="779">
        <f t="shared" si="39"/>
        <v>715532</v>
      </c>
      <c r="L94" s="739">
        <v>68</v>
      </c>
      <c r="M94" s="739">
        <f t="shared" si="41"/>
        <v>10522.529411764706</v>
      </c>
      <c r="N94" s="652">
        <v>10433</v>
      </c>
      <c r="O94" s="652"/>
      <c r="P94" s="185" t="s">
        <v>395</v>
      </c>
      <c r="Q94" s="756">
        <v>40691</v>
      </c>
      <c r="R94" s="755"/>
      <c r="S94" s="292">
        <f>L94</f>
        <v>68</v>
      </c>
      <c r="T94" s="249">
        <v>8620</v>
      </c>
      <c r="U94" s="8">
        <f t="shared" si="43"/>
        <v>586160</v>
      </c>
      <c r="V94" s="439"/>
      <c r="W94" s="756"/>
      <c r="X94" s="782"/>
      <c r="Y94" s="782"/>
      <c r="Z94" s="8">
        <f t="shared" si="44"/>
        <v>0</v>
      </c>
    </row>
    <row r="95" spans="1:26">
      <c r="A95" s="738">
        <f t="shared" si="40"/>
        <v>78</v>
      </c>
      <c r="B95" s="287" t="s">
        <v>552</v>
      </c>
      <c r="C95" s="804">
        <f t="shared" si="38"/>
        <v>3476100</v>
      </c>
      <c r="D95" s="739">
        <f t="shared" si="45"/>
        <v>200058.7073704435</v>
      </c>
      <c r="E95" s="739">
        <f t="shared" si="45"/>
        <v>49874.579708597958</v>
      </c>
      <c r="F95" s="739">
        <f t="shared" si="45"/>
        <v>231520.52089448684</v>
      </c>
      <c r="G95" s="739">
        <f t="shared" si="45"/>
        <v>26625.500346907189</v>
      </c>
      <c r="H95" s="739">
        <f t="shared" si="45"/>
        <v>12008.325772535623</v>
      </c>
      <c r="I95" s="739">
        <f t="shared" si="45"/>
        <v>50672.65303944068</v>
      </c>
      <c r="J95" s="348"/>
      <c r="K95" s="779">
        <f t="shared" si="39"/>
        <v>4046860</v>
      </c>
      <c r="L95" s="739">
        <v>300</v>
      </c>
      <c r="M95" s="739">
        <f t="shared" si="41"/>
        <v>13489.533333333333</v>
      </c>
      <c r="N95" s="652">
        <v>13172</v>
      </c>
      <c r="O95" s="652"/>
      <c r="P95" s="185" t="s">
        <v>391</v>
      </c>
      <c r="Q95" s="756">
        <v>40691</v>
      </c>
      <c r="R95" s="755"/>
      <c r="S95" s="292">
        <f>L95</f>
        <v>300</v>
      </c>
      <c r="T95" s="249">
        <v>11587</v>
      </c>
      <c r="U95" s="8">
        <f t="shared" si="43"/>
        <v>3476100</v>
      </c>
      <c r="V95" s="439"/>
      <c r="W95" s="756"/>
      <c r="X95" s="782"/>
      <c r="Y95" s="782"/>
      <c r="Z95" s="8">
        <f t="shared" si="44"/>
        <v>0</v>
      </c>
    </row>
    <row r="96" spans="1:26">
      <c r="A96" s="738">
        <f t="shared" si="40"/>
        <v>79</v>
      </c>
      <c r="B96" s="287" t="s">
        <v>553</v>
      </c>
      <c r="C96" s="804">
        <f t="shared" si="38"/>
        <v>529200</v>
      </c>
      <c r="D96" s="739">
        <f t="shared" si="45"/>
        <v>26674.494316059136</v>
      </c>
      <c r="E96" s="739">
        <f t="shared" si="45"/>
        <v>6649.9439611463949</v>
      </c>
      <c r="F96" s="739">
        <f t="shared" si="45"/>
        <v>30869.402785931579</v>
      </c>
      <c r="G96" s="739">
        <f t="shared" si="45"/>
        <v>3550.0667129209587</v>
      </c>
      <c r="H96" s="739">
        <f t="shared" si="45"/>
        <v>1601.1101030047498</v>
      </c>
      <c r="I96" s="739">
        <f t="shared" si="45"/>
        <v>6756.3537385920899</v>
      </c>
      <c r="J96" s="348"/>
      <c r="K96" s="779">
        <f t="shared" si="39"/>
        <v>605301</v>
      </c>
      <c r="L96" s="739">
        <v>40</v>
      </c>
      <c r="M96" s="739">
        <f t="shared" si="41"/>
        <v>15132.525</v>
      </c>
      <c r="N96" s="652">
        <v>15040</v>
      </c>
      <c r="O96" s="652"/>
      <c r="P96" s="287" t="s">
        <v>384</v>
      </c>
      <c r="Q96" s="756">
        <v>40691</v>
      </c>
      <c r="R96" s="755"/>
      <c r="S96" s="292">
        <v>21</v>
      </c>
      <c r="T96" s="249">
        <v>25200</v>
      </c>
      <c r="U96" s="8">
        <f t="shared" si="43"/>
        <v>529200</v>
      </c>
      <c r="V96" s="439"/>
      <c r="W96" s="756"/>
      <c r="X96" s="782"/>
      <c r="Y96" s="782"/>
      <c r="Z96" s="8">
        <f t="shared" si="44"/>
        <v>0</v>
      </c>
    </row>
    <row r="97" spans="1:26">
      <c r="A97" s="738">
        <f t="shared" si="40"/>
        <v>80</v>
      </c>
      <c r="B97" s="287" t="s">
        <v>554</v>
      </c>
      <c r="C97" s="804">
        <f t="shared" si="38"/>
        <v>4330256</v>
      </c>
      <c r="D97" s="739">
        <f t="shared" si="45"/>
        <v>628851.20350109413</v>
      </c>
      <c r="E97" s="739">
        <f t="shared" si="45"/>
        <v>156772.42888402625</v>
      </c>
      <c r="F97" s="739">
        <f t="shared" si="45"/>
        <v>727746.17067833699</v>
      </c>
      <c r="G97" s="739">
        <f t="shared" si="45"/>
        <v>83692.8227571116</v>
      </c>
      <c r="H97" s="739">
        <f t="shared" si="45"/>
        <v>37746.170678336981</v>
      </c>
      <c r="I97" s="739">
        <f t="shared" si="45"/>
        <v>159281.03938730853</v>
      </c>
      <c r="J97" s="348"/>
      <c r="K97" s="779">
        <f t="shared" si="39"/>
        <v>6124346</v>
      </c>
      <c r="L97" s="739">
        <v>943</v>
      </c>
      <c r="M97" s="739">
        <f t="shared" si="41"/>
        <v>6494.5344644750794</v>
      </c>
      <c r="N97" s="652">
        <v>7229</v>
      </c>
      <c r="O97" s="652"/>
      <c r="P97" s="287" t="s">
        <v>381</v>
      </c>
      <c r="Q97" s="756">
        <v>40694</v>
      </c>
      <c r="R97" s="755"/>
      <c r="S97" s="292">
        <f t="shared" ref="S97:S98" si="47">L97</f>
        <v>943</v>
      </c>
      <c r="T97" s="251">
        <v>4592</v>
      </c>
      <c r="U97" s="8">
        <f t="shared" si="43"/>
        <v>4330256</v>
      </c>
      <c r="V97" s="439"/>
      <c r="W97" s="756"/>
      <c r="X97" s="782"/>
      <c r="Y97" s="782"/>
      <c r="Z97" s="8">
        <f t="shared" si="44"/>
        <v>0</v>
      </c>
    </row>
    <row r="98" spans="1:26">
      <c r="A98" s="738">
        <f t="shared" si="40"/>
        <v>81</v>
      </c>
      <c r="B98" s="287" t="s">
        <v>555</v>
      </c>
      <c r="C98" s="804">
        <f t="shared" si="38"/>
        <v>1348047</v>
      </c>
      <c r="D98" s="739">
        <f t="shared" ref="D98:I107" si="48">IF($L$149&lt;&gt;0,D$149/$L$149*$L98,0)</f>
        <v>202059.29444414796</v>
      </c>
      <c r="E98" s="739">
        <f t="shared" si="48"/>
        <v>50373.325505683941</v>
      </c>
      <c r="F98" s="739">
        <f t="shared" si="48"/>
        <v>233835.72610343172</v>
      </c>
      <c r="G98" s="739">
        <f t="shared" si="48"/>
        <v>26891.755350376261</v>
      </c>
      <c r="H98" s="739">
        <f t="shared" si="48"/>
        <v>12128.40903026098</v>
      </c>
      <c r="I98" s="739">
        <f t="shared" si="48"/>
        <v>51179.379569835088</v>
      </c>
      <c r="J98" s="348"/>
      <c r="K98" s="779">
        <f t="shared" si="39"/>
        <v>1924515</v>
      </c>
      <c r="L98" s="739">
        <v>303</v>
      </c>
      <c r="M98" s="739">
        <f t="shared" si="41"/>
        <v>6351.5346534653463</v>
      </c>
      <c r="N98" s="652">
        <v>6620</v>
      </c>
      <c r="O98" s="652"/>
      <c r="P98" s="287" t="s">
        <v>372</v>
      </c>
      <c r="Q98" s="756">
        <v>40694</v>
      </c>
      <c r="R98" s="755"/>
      <c r="S98" s="292">
        <f t="shared" si="47"/>
        <v>303</v>
      </c>
      <c r="T98" s="251">
        <v>4449</v>
      </c>
      <c r="U98" s="8">
        <f t="shared" si="43"/>
        <v>1348047</v>
      </c>
      <c r="V98" s="439"/>
      <c r="W98" s="756"/>
      <c r="X98" s="782"/>
      <c r="Y98" s="782"/>
      <c r="Z98" s="8">
        <f t="shared" si="44"/>
        <v>0</v>
      </c>
    </row>
    <row r="99" spans="1:26">
      <c r="A99" s="738">
        <f t="shared" si="40"/>
        <v>82</v>
      </c>
      <c r="B99" s="287" t="s">
        <v>556</v>
      </c>
      <c r="C99" s="804">
        <f t="shared" si="38"/>
        <v>347610</v>
      </c>
      <c r="D99" s="739">
        <f t="shared" si="48"/>
        <v>20005.870737044352</v>
      </c>
      <c r="E99" s="739">
        <f t="shared" si="48"/>
        <v>4987.4579708597958</v>
      </c>
      <c r="F99" s="739">
        <f t="shared" si="48"/>
        <v>23152.052089448684</v>
      </c>
      <c r="G99" s="739">
        <f t="shared" si="48"/>
        <v>2662.5500346907188</v>
      </c>
      <c r="H99" s="739">
        <f t="shared" si="48"/>
        <v>1200.8325772535625</v>
      </c>
      <c r="I99" s="739">
        <f t="shared" si="48"/>
        <v>5067.2653039440675</v>
      </c>
      <c r="J99" s="348"/>
      <c r="K99" s="779">
        <f t="shared" si="39"/>
        <v>404686</v>
      </c>
      <c r="L99" s="739">
        <v>30</v>
      </c>
      <c r="M99" s="739">
        <f t="shared" si="41"/>
        <v>13489.533333333333</v>
      </c>
      <c r="N99" s="652">
        <v>14576</v>
      </c>
      <c r="O99" s="652"/>
      <c r="P99" s="185" t="s">
        <v>391</v>
      </c>
      <c r="Q99" s="756">
        <v>40694</v>
      </c>
      <c r="R99" s="755"/>
      <c r="S99" s="292">
        <f>L99</f>
        <v>30</v>
      </c>
      <c r="T99" s="249">
        <v>11587</v>
      </c>
      <c r="U99" s="8">
        <f t="shared" si="43"/>
        <v>347610</v>
      </c>
      <c r="V99" s="439"/>
      <c r="W99" s="756"/>
      <c r="X99" s="782"/>
      <c r="Y99" s="782"/>
      <c r="Z99" s="8">
        <f t="shared" si="44"/>
        <v>0</v>
      </c>
    </row>
    <row r="100" spans="1:26">
      <c r="A100" s="738">
        <f t="shared" si="40"/>
        <v>83</v>
      </c>
      <c r="B100" s="287" t="s">
        <v>424</v>
      </c>
      <c r="C100" s="804">
        <f t="shared" si="38"/>
        <v>3592166</v>
      </c>
      <c r="D100" s="739">
        <f t="shared" si="48"/>
        <v>67353.098148049321</v>
      </c>
      <c r="E100" s="739">
        <f t="shared" si="48"/>
        <v>16791.108501894647</v>
      </c>
      <c r="F100" s="739">
        <f t="shared" si="48"/>
        <v>77945.24203447724</v>
      </c>
      <c r="G100" s="739">
        <f t="shared" si="48"/>
        <v>8963.9184501254203</v>
      </c>
      <c r="H100" s="739">
        <f t="shared" si="48"/>
        <v>4042.8030100869933</v>
      </c>
      <c r="I100" s="739">
        <f t="shared" si="48"/>
        <v>17059.793189945027</v>
      </c>
      <c r="J100" s="348"/>
      <c r="K100" s="779">
        <f t="shared" si="39"/>
        <v>3784322</v>
      </c>
      <c r="L100" s="739">
        <v>101</v>
      </c>
      <c r="M100" s="739">
        <f t="shared" si="41"/>
        <v>37468.534653465344</v>
      </c>
      <c r="N100" s="652">
        <v>43865</v>
      </c>
      <c r="O100" s="652"/>
      <c r="P100" s="185" t="s">
        <v>406</v>
      </c>
      <c r="Q100" s="756">
        <v>40695</v>
      </c>
      <c r="R100" s="755"/>
      <c r="S100" s="292">
        <v>101</v>
      </c>
      <c r="T100" s="784">
        <v>35566</v>
      </c>
      <c r="U100" s="8">
        <f t="shared" si="43"/>
        <v>3592166</v>
      </c>
      <c r="V100" s="439"/>
      <c r="W100" s="756"/>
      <c r="X100" s="782"/>
      <c r="Y100" s="782"/>
      <c r="Z100" s="8">
        <f t="shared" si="44"/>
        <v>0</v>
      </c>
    </row>
    <row r="101" spans="1:26">
      <c r="A101" s="738">
        <f t="shared" ref="A101:A147" si="49">IF(B101&lt;&gt;"",A100+1,"")</f>
        <v>84</v>
      </c>
      <c r="B101" s="287" t="s">
        <v>425</v>
      </c>
      <c r="C101" s="804">
        <f t="shared" si="38"/>
        <v>3617012</v>
      </c>
      <c r="D101" s="739">
        <f t="shared" si="48"/>
        <v>67353.098148049321</v>
      </c>
      <c r="E101" s="739">
        <f t="shared" si="48"/>
        <v>16791.108501894647</v>
      </c>
      <c r="F101" s="739">
        <f t="shared" si="48"/>
        <v>77945.24203447724</v>
      </c>
      <c r="G101" s="739">
        <f t="shared" si="48"/>
        <v>8963.9184501254203</v>
      </c>
      <c r="H101" s="739">
        <f t="shared" si="48"/>
        <v>4042.8030100869933</v>
      </c>
      <c r="I101" s="739">
        <f t="shared" si="48"/>
        <v>17059.793189945027</v>
      </c>
      <c r="J101" s="348"/>
      <c r="K101" s="779">
        <f t="shared" si="39"/>
        <v>3809168</v>
      </c>
      <c r="L101" s="739">
        <v>101</v>
      </c>
      <c r="M101" s="739">
        <f t="shared" ref="M101:M147" si="50">IF(L101&lt;&gt;"",K101/L101,"")</f>
        <v>37714.534653465344</v>
      </c>
      <c r="N101" s="652">
        <v>50416</v>
      </c>
      <c r="O101" s="652"/>
      <c r="P101" s="185" t="s">
        <v>414</v>
      </c>
      <c r="Q101" s="756">
        <v>40695</v>
      </c>
      <c r="R101" s="755"/>
      <c r="S101" s="292">
        <v>101</v>
      </c>
      <c r="T101" s="251">
        <v>35812</v>
      </c>
      <c r="U101" s="8">
        <f t="shared" ref="U101:U147" si="51">S101*T101</f>
        <v>3617012</v>
      </c>
      <c r="V101" s="439"/>
      <c r="W101" s="756"/>
      <c r="X101" s="782"/>
      <c r="Y101" s="782"/>
      <c r="Z101" s="8">
        <f t="shared" ref="Z101:Z147" si="52">X101*Y101</f>
        <v>0</v>
      </c>
    </row>
    <row r="102" spans="1:26">
      <c r="A102" s="738">
        <f t="shared" si="49"/>
        <v>85</v>
      </c>
      <c r="B102" s="287" t="s">
        <v>557</v>
      </c>
      <c r="C102" s="804">
        <f t="shared" si="38"/>
        <v>353010</v>
      </c>
      <c r="D102" s="739">
        <f t="shared" si="48"/>
        <v>11336.660084325133</v>
      </c>
      <c r="E102" s="739">
        <f t="shared" si="48"/>
        <v>2826.2261834872179</v>
      </c>
      <c r="F102" s="739">
        <f t="shared" si="48"/>
        <v>13119.496184020922</v>
      </c>
      <c r="G102" s="739">
        <f t="shared" si="48"/>
        <v>1508.7783529914075</v>
      </c>
      <c r="H102" s="739">
        <f t="shared" si="48"/>
        <v>680.47179377701866</v>
      </c>
      <c r="I102" s="739">
        <f t="shared" si="48"/>
        <v>2871.4503389016386</v>
      </c>
      <c r="J102" s="348"/>
      <c r="K102" s="779">
        <f t="shared" si="39"/>
        <v>385353</v>
      </c>
      <c r="L102" s="739">
        <v>17</v>
      </c>
      <c r="M102" s="739">
        <f t="shared" si="50"/>
        <v>22667.823529411766</v>
      </c>
      <c r="N102" s="652">
        <v>23643</v>
      </c>
      <c r="O102" s="652"/>
      <c r="P102" s="39" t="s">
        <v>407</v>
      </c>
      <c r="Q102" s="756">
        <v>40723</v>
      </c>
      <c r="R102" s="755"/>
      <c r="S102" s="292">
        <v>10</v>
      </c>
      <c r="T102" s="784">
        <v>35301</v>
      </c>
      <c r="U102" s="25">
        <f t="shared" si="51"/>
        <v>353010</v>
      </c>
      <c r="V102" s="439"/>
      <c r="W102" s="756"/>
      <c r="X102" s="782"/>
      <c r="Y102" s="782"/>
      <c r="Z102" s="8">
        <f t="shared" si="52"/>
        <v>0</v>
      </c>
    </row>
    <row r="103" spans="1:26">
      <c r="A103" s="738">
        <f t="shared" si="49"/>
        <v>86</v>
      </c>
      <c r="B103" s="287" t="s">
        <v>543</v>
      </c>
      <c r="C103" s="804">
        <f t="shared" si="38"/>
        <v>191248</v>
      </c>
      <c r="D103" s="739">
        <f t="shared" si="48"/>
        <v>5334.8988632118271</v>
      </c>
      <c r="E103" s="739">
        <f t="shared" si="48"/>
        <v>1329.9887922292789</v>
      </c>
      <c r="F103" s="739">
        <f t="shared" si="48"/>
        <v>6173.8805571863159</v>
      </c>
      <c r="G103" s="739">
        <f t="shared" si="48"/>
        <v>710.01334258419172</v>
      </c>
      <c r="H103" s="739">
        <f t="shared" si="48"/>
        <v>320.22202060094997</v>
      </c>
      <c r="I103" s="739">
        <f t="shared" si="48"/>
        <v>1351.2707477184181</v>
      </c>
      <c r="J103" s="348"/>
      <c r="K103" s="779">
        <f t="shared" si="39"/>
        <v>206468</v>
      </c>
      <c r="L103" s="739">
        <v>8</v>
      </c>
      <c r="M103" s="739">
        <f t="shared" si="50"/>
        <v>25808.5</v>
      </c>
      <c r="N103" s="652">
        <v>26855</v>
      </c>
      <c r="O103" s="652"/>
      <c r="P103" s="39" t="s">
        <v>412</v>
      </c>
      <c r="Q103" s="756">
        <v>40723</v>
      </c>
      <c r="R103" s="755"/>
      <c r="S103" s="292">
        <v>8</v>
      </c>
      <c r="T103" s="784">
        <v>23906</v>
      </c>
      <c r="U103" s="25">
        <f t="shared" si="51"/>
        <v>191248</v>
      </c>
      <c r="V103" s="439"/>
      <c r="W103" s="756"/>
      <c r="X103" s="782"/>
      <c r="Y103" s="782"/>
      <c r="Z103" s="8">
        <f t="shared" si="52"/>
        <v>0</v>
      </c>
    </row>
    <row r="104" spans="1:26">
      <c r="A104" s="738">
        <f t="shared" si="49"/>
        <v>87</v>
      </c>
      <c r="B104" s="287" t="s">
        <v>535</v>
      </c>
      <c r="C104" s="804">
        <f t="shared" si="38"/>
        <v>908428</v>
      </c>
      <c r="D104" s="739">
        <f t="shared" si="48"/>
        <v>25340.769600256179</v>
      </c>
      <c r="E104" s="739">
        <f t="shared" si="48"/>
        <v>6317.4467630890749</v>
      </c>
      <c r="F104" s="739">
        <f t="shared" si="48"/>
        <v>29325.932646634999</v>
      </c>
      <c r="G104" s="739">
        <f t="shared" si="48"/>
        <v>3372.5633772749106</v>
      </c>
      <c r="H104" s="739">
        <f t="shared" si="48"/>
        <v>1521.0545978545124</v>
      </c>
      <c r="I104" s="739">
        <f t="shared" si="48"/>
        <v>6418.536051662486</v>
      </c>
      <c r="J104" s="348"/>
      <c r="K104" s="779">
        <f t="shared" si="39"/>
        <v>980724</v>
      </c>
      <c r="L104" s="739">
        <v>38</v>
      </c>
      <c r="M104" s="739">
        <f t="shared" si="50"/>
        <v>25808.526315789473</v>
      </c>
      <c r="N104" s="652">
        <v>25535</v>
      </c>
      <c r="O104" s="652"/>
      <c r="P104" s="39" t="s">
        <v>412</v>
      </c>
      <c r="Q104" s="756">
        <v>40723</v>
      </c>
      <c r="R104" s="755"/>
      <c r="S104" s="292">
        <v>38</v>
      </c>
      <c r="T104" s="784">
        <v>23906</v>
      </c>
      <c r="U104" s="25">
        <f t="shared" si="51"/>
        <v>908428</v>
      </c>
      <c r="V104" s="439"/>
      <c r="W104" s="756"/>
      <c r="X104" s="782"/>
      <c r="Y104" s="782"/>
      <c r="Z104" s="8">
        <f t="shared" si="52"/>
        <v>0</v>
      </c>
    </row>
    <row r="105" spans="1:26">
      <c r="A105" s="738">
        <f t="shared" si="49"/>
        <v>88</v>
      </c>
      <c r="B105" s="287" t="s">
        <v>558</v>
      </c>
      <c r="C105" s="804">
        <f t="shared" si="38"/>
        <v>835801</v>
      </c>
      <c r="D105" s="739">
        <f t="shared" si="48"/>
        <v>31342.530821369484</v>
      </c>
      <c r="E105" s="739">
        <f t="shared" si="48"/>
        <v>7813.6841543470136</v>
      </c>
      <c r="F105" s="739">
        <f t="shared" si="48"/>
        <v>36271.548273469605</v>
      </c>
      <c r="G105" s="739">
        <f t="shared" si="48"/>
        <v>4171.328387682126</v>
      </c>
      <c r="H105" s="739">
        <f t="shared" si="48"/>
        <v>1881.304371030581</v>
      </c>
      <c r="I105" s="739">
        <f t="shared" si="48"/>
        <v>7938.7156428457065</v>
      </c>
      <c r="J105" s="348"/>
      <c r="K105" s="779">
        <f t="shared" si="39"/>
        <v>925220</v>
      </c>
      <c r="L105" s="739">
        <v>47</v>
      </c>
      <c r="M105" s="739">
        <f t="shared" si="50"/>
        <v>19685.531914893618</v>
      </c>
      <c r="N105" s="652">
        <v>21721</v>
      </c>
      <c r="O105" s="652"/>
      <c r="P105" s="185" t="s">
        <v>406</v>
      </c>
      <c r="Q105" s="756">
        <v>40723</v>
      </c>
      <c r="R105" s="755"/>
      <c r="S105" s="292">
        <v>23.5</v>
      </c>
      <c r="T105" s="784">
        <v>35566</v>
      </c>
      <c r="U105" s="25">
        <f t="shared" si="51"/>
        <v>835801</v>
      </c>
      <c r="V105" s="439"/>
      <c r="W105" s="756"/>
      <c r="X105" s="782"/>
      <c r="Y105" s="782"/>
      <c r="Z105" s="8">
        <f t="shared" si="52"/>
        <v>0</v>
      </c>
    </row>
    <row r="106" spans="1:26">
      <c r="A106" s="738">
        <f t="shared" si="49"/>
        <v>89</v>
      </c>
      <c r="B106" s="287" t="s">
        <v>559</v>
      </c>
      <c r="C106" s="804">
        <f t="shared" si="38"/>
        <v>9962075</v>
      </c>
      <c r="D106" s="739">
        <f t="shared" si="48"/>
        <v>553495.75705822709</v>
      </c>
      <c r="E106" s="739">
        <f t="shared" si="48"/>
        <v>137986.33719378768</v>
      </c>
      <c r="F106" s="739">
        <f t="shared" si="48"/>
        <v>640540.10780808027</v>
      </c>
      <c r="G106" s="739">
        <f t="shared" si="48"/>
        <v>73663.884293109892</v>
      </c>
      <c r="H106" s="739">
        <f t="shared" si="48"/>
        <v>33223.034637348559</v>
      </c>
      <c r="I106" s="739">
        <f t="shared" si="48"/>
        <v>140194.34007578588</v>
      </c>
      <c r="J106" s="348"/>
      <c r="K106" s="779">
        <f t="shared" si="39"/>
        <v>11541178</v>
      </c>
      <c r="L106" s="739">
        <v>830</v>
      </c>
      <c r="M106" s="739">
        <f t="shared" si="50"/>
        <v>13905.03373493976</v>
      </c>
      <c r="N106" s="652">
        <v>14435</v>
      </c>
      <c r="O106" s="652"/>
      <c r="P106" s="39" t="s">
        <v>404</v>
      </c>
      <c r="Q106" s="756">
        <v>40723</v>
      </c>
      <c r="R106" s="755"/>
      <c r="S106" s="292">
        <f>L106/2</f>
        <v>415</v>
      </c>
      <c r="T106" s="784">
        <v>24005</v>
      </c>
      <c r="U106" s="8">
        <f t="shared" si="51"/>
        <v>9962075</v>
      </c>
      <c r="V106" s="439"/>
      <c r="W106" s="756"/>
      <c r="X106" s="782"/>
      <c r="Y106" s="782"/>
      <c r="Z106" s="8">
        <f t="shared" si="52"/>
        <v>0</v>
      </c>
    </row>
    <row r="107" spans="1:26">
      <c r="A107" s="789">
        <f t="shared" si="49"/>
        <v>90</v>
      </c>
      <c r="B107" s="288" t="s">
        <v>435</v>
      </c>
      <c r="C107" s="804">
        <f t="shared" si="38"/>
        <v>8857845</v>
      </c>
      <c r="D107" s="520">
        <f t="shared" si="48"/>
        <v>492144.42013129103</v>
      </c>
      <c r="E107" s="520">
        <f t="shared" si="48"/>
        <v>122691.46608315098</v>
      </c>
      <c r="F107" s="520">
        <f t="shared" si="48"/>
        <v>569540.48140043765</v>
      </c>
      <c r="G107" s="520">
        <f t="shared" si="48"/>
        <v>65498.730853391688</v>
      </c>
      <c r="H107" s="520">
        <f t="shared" si="48"/>
        <v>29540.481400437635</v>
      </c>
      <c r="I107" s="520">
        <f t="shared" si="48"/>
        <v>124654.72647702407</v>
      </c>
      <c r="J107" s="520"/>
      <c r="K107" s="779">
        <f t="shared" si="39"/>
        <v>10261915</v>
      </c>
      <c r="L107" s="520">
        <v>738</v>
      </c>
      <c r="M107" s="520">
        <f t="shared" si="50"/>
        <v>13905.033875338753</v>
      </c>
      <c r="N107" s="652">
        <v>14011</v>
      </c>
      <c r="O107" s="652"/>
      <c r="P107" s="39" t="s">
        <v>404</v>
      </c>
      <c r="Q107" s="756">
        <v>40723</v>
      </c>
      <c r="R107" s="755"/>
      <c r="S107" s="292">
        <f>L107/2</f>
        <v>369</v>
      </c>
      <c r="T107" s="784">
        <v>24005</v>
      </c>
      <c r="U107" s="8">
        <f t="shared" si="51"/>
        <v>8857845</v>
      </c>
      <c r="V107" s="439"/>
      <c r="W107" s="756"/>
      <c r="X107" s="782"/>
      <c r="Y107" s="782"/>
      <c r="Z107" s="8">
        <f t="shared" si="52"/>
        <v>0</v>
      </c>
    </row>
    <row r="108" spans="1:26">
      <c r="A108" s="738">
        <f>IF(B108&lt;&gt;"",A107+1,"")</f>
        <v>91</v>
      </c>
      <c r="B108" s="287" t="s">
        <v>438</v>
      </c>
      <c r="C108" s="804">
        <f t="shared" si="38"/>
        <v>16462</v>
      </c>
      <c r="D108" s="739">
        <f t="shared" ref="D108:I117" si="53">IF($L$149&lt;&gt;0,D$149/$L$149*$L108,0)</f>
        <v>1333.7247158029568</v>
      </c>
      <c r="E108" s="739">
        <f t="shared" si="53"/>
        <v>332.49719805731974</v>
      </c>
      <c r="F108" s="739">
        <f t="shared" si="53"/>
        <v>1543.470139296579</v>
      </c>
      <c r="G108" s="739">
        <f t="shared" si="53"/>
        <v>177.50333564604793</v>
      </c>
      <c r="H108" s="739">
        <f t="shared" si="53"/>
        <v>80.055505150237494</v>
      </c>
      <c r="I108" s="739">
        <f t="shared" si="53"/>
        <v>337.81768692960452</v>
      </c>
      <c r="J108" s="348"/>
      <c r="K108" s="779">
        <f t="shared" si="39"/>
        <v>20267</v>
      </c>
      <c r="L108" s="739">
        <v>2</v>
      </c>
      <c r="M108" s="739">
        <f t="shared" si="50"/>
        <v>10133.5</v>
      </c>
      <c r="N108" s="652">
        <v>12177</v>
      </c>
      <c r="O108" s="652"/>
      <c r="P108" s="185" t="s">
        <v>390</v>
      </c>
      <c r="Q108" s="756">
        <v>40723</v>
      </c>
      <c r="R108" s="755"/>
      <c r="S108" s="292">
        <f>L108/2</f>
        <v>1</v>
      </c>
      <c r="T108" s="784">
        <v>16462</v>
      </c>
      <c r="U108" s="8">
        <f t="shared" si="51"/>
        <v>16462</v>
      </c>
      <c r="V108" s="439"/>
      <c r="W108" s="756"/>
      <c r="X108" s="782"/>
      <c r="Y108" s="782"/>
      <c r="Z108" s="8">
        <f t="shared" si="52"/>
        <v>0</v>
      </c>
    </row>
    <row r="109" spans="1:26">
      <c r="A109" s="738">
        <f t="shared" si="49"/>
        <v>92</v>
      </c>
      <c r="B109" s="287" t="s">
        <v>560</v>
      </c>
      <c r="C109" s="804">
        <f t="shared" si="38"/>
        <v>18390</v>
      </c>
      <c r="D109" s="739">
        <f t="shared" si="53"/>
        <v>1333.7247158029568</v>
      </c>
      <c r="E109" s="739">
        <f t="shared" si="53"/>
        <v>332.49719805731974</v>
      </c>
      <c r="F109" s="739">
        <f t="shared" si="53"/>
        <v>1543.470139296579</v>
      </c>
      <c r="G109" s="739">
        <f t="shared" si="53"/>
        <v>177.50333564604793</v>
      </c>
      <c r="H109" s="739">
        <f t="shared" si="53"/>
        <v>80.055505150237494</v>
      </c>
      <c r="I109" s="739">
        <f t="shared" si="53"/>
        <v>337.81768692960452</v>
      </c>
      <c r="J109" s="348"/>
      <c r="K109" s="779">
        <f t="shared" si="39"/>
        <v>22195</v>
      </c>
      <c r="L109" s="739">
        <v>2</v>
      </c>
      <c r="M109" s="739">
        <f t="shared" si="50"/>
        <v>11097.5</v>
      </c>
      <c r="N109" s="652">
        <v>12562</v>
      </c>
      <c r="O109" s="652"/>
      <c r="P109" s="185" t="s">
        <v>405</v>
      </c>
      <c r="Q109" s="756">
        <v>40723</v>
      </c>
      <c r="R109" s="755"/>
      <c r="S109" s="292">
        <f>L109/2</f>
        <v>1</v>
      </c>
      <c r="T109" s="784">
        <v>18390</v>
      </c>
      <c r="U109" s="8">
        <f t="shared" si="51"/>
        <v>18390</v>
      </c>
      <c r="V109" s="439"/>
      <c r="W109" s="756"/>
      <c r="X109" s="782"/>
      <c r="Y109" s="782"/>
      <c r="Z109" s="8">
        <f t="shared" si="52"/>
        <v>0</v>
      </c>
    </row>
    <row r="110" spans="1:26">
      <c r="A110" s="738">
        <f t="shared" si="49"/>
        <v>93</v>
      </c>
      <c r="B110" s="287" t="s">
        <v>560</v>
      </c>
      <c r="C110" s="804">
        <f t="shared" si="38"/>
        <v>334866</v>
      </c>
      <c r="D110" s="739">
        <f t="shared" si="53"/>
        <v>14004.109515931046</v>
      </c>
      <c r="E110" s="739">
        <f t="shared" si="53"/>
        <v>3491.220579601857</v>
      </c>
      <c r="F110" s="739">
        <f t="shared" si="53"/>
        <v>16206.43646261408</v>
      </c>
      <c r="G110" s="739">
        <f t="shared" si="53"/>
        <v>1863.7850242835032</v>
      </c>
      <c r="H110" s="739">
        <f t="shared" si="53"/>
        <v>840.58280407749373</v>
      </c>
      <c r="I110" s="739">
        <f t="shared" si="53"/>
        <v>3547.0857127608474</v>
      </c>
      <c r="J110" s="348"/>
      <c r="K110" s="779">
        <f t="shared" si="39"/>
        <v>374819</v>
      </c>
      <c r="L110" s="739">
        <v>21</v>
      </c>
      <c r="M110" s="739">
        <f t="shared" si="50"/>
        <v>17848.523809523809</v>
      </c>
      <c r="N110" s="652">
        <v>17837</v>
      </c>
      <c r="O110" s="652"/>
      <c r="P110" s="39" t="s">
        <v>409</v>
      </c>
      <c r="Q110" s="756">
        <v>40723</v>
      </c>
      <c r="R110" s="755"/>
      <c r="S110" s="292">
        <f>L110</f>
        <v>21</v>
      </c>
      <c r="T110" s="784">
        <v>15946</v>
      </c>
      <c r="U110" s="8">
        <f t="shared" si="51"/>
        <v>334866</v>
      </c>
      <c r="V110" s="439"/>
      <c r="W110" s="756"/>
      <c r="X110" s="782"/>
      <c r="Y110" s="782"/>
      <c r="Z110" s="8">
        <f t="shared" si="52"/>
        <v>0</v>
      </c>
    </row>
    <row r="111" spans="1:26">
      <c r="A111" s="738">
        <f t="shared" si="49"/>
        <v>94</v>
      </c>
      <c r="B111" s="287" t="s">
        <v>561</v>
      </c>
      <c r="C111" s="804">
        <f t="shared" si="38"/>
        <v>526218</v>
      </c>
      <c r="D111" s="739">
        <f t="shared" si="53"/>
        <v>22006.457810748787</v>
      </c>
      <c r="E111" s="739">
        <f t="shared" si="53"/>
        <v>5486.2037679457753</v>
      </c>
      <c r="F111" s="739">
        <f t="shared" si="53"/>
        <v>25467.257298393553</v>
      </c>
      <c r="G111" s="739">
        <f t="shared" si="53"/>
        <v>2928.8050381597909</v>
      </c>
      <c r="H111" s="739">
        <f t="shared" si="53"/>
        <v>1320.9158349789186</v>
      </c>
      <c r="I111" s="739">
        <f t="shared" si="53"/>
        <v>5573.9918343384743</v>
      </c>
      <c r="J111" s="348"/>
      <c r="K111" s="779">
        <f t="shared" si="39"/>
        <v>589002</v>
      </c>
      <c r="L111" s="739">
        <v>33</v>
      </c>
      <c r="M111" s="739">
        <f t="shared" si="50"/>
        <v>17848.545454545456</v>
      </c>
      <c r="N111" s="652">
        <v>17008</v>
      </c>
      <c r="O111" s="652"/>
      <c r="P111" s="39" t="s">
        <v>409</v>
      </c>
      <c r="Q111" s="756">
        <v>40723</v>
      </c>
      <c r="R111" s="755"/>
      <c r="S111" s="292">
        <f>L111</f>
        <v>33</v>
      </c>
      <c r="T111" s="784">
        <v>15946</v>
      </c>
      <c r="U111" s="8">
        <f t="shared" si="51"/>
        <v>526218</v>
      </c>
      <c r="V111" s="439"/>
      <c r="W111" s="756"/>
      <c r="X111" s="782"/>
      <c r="Y111" s="782"/>
      <c r="Z111" s="8">
        <f t="shared" si="52"/>
        <v>0</v>
      </c>
    </row>
    <row r="112" spans="1:26">
      <c r="A112" s="738">
        <f t="shared" si="49"/>
        <v>95</v>
      </c>
      <c r="B112" s="287" t="s">
        <v>427</v>
      </c>
      <c r="C112" s="804">
        <f t="shared" si="38"/>
        <v>6580700</v>
      </c>
      <c r="D112" s="739">
        <f t="shared" si="53"/>
        <v>260076.31958157656</v>
      </c>
      <c r="E112" s="739">
        <f t="shared" si="53"/>
        <v>64836.953621177352</v>
      </c>
      <c r="F112" s="739">
        <f t="shared" si="53"/>
        <v>300976.67716283287</v>
      </c>
      <c r="G112" s="739">
        <f t="shared" si="53"/>
        <v>34613.150450979345</v>
      </c>
      <c r="H112" s="739">
        <f t="shared" si="53"/>
        <v>15610.823504296312</v>
      </c>
      <c r="I112" s="739">
        <f t="shared" si="53"/>
        <v>65874.448951272876</v>
      </c>
      <c r="J112" s="348"/>
      <c r="K112" s="779">
        <f t="shared" si="39"/>
        <v>7322688</v>
      </c>
      <c r="L112" s="739">
        <v>390</v>
      </c>
      <c r="M112" s="739">
        <f t="shared" si="50"/>
        <v>18776.123076923075</v>
      </c>
      <c r="N112" s="652">
        <v>19820</v>
      </c>
      <c r="O112" s="652"/>
      <c r="P112" s="39" t="s">
        <v>408</v>
      </c>
      <c r="Q112" s="756">
        <v>40723</v>
      </c>
      <c r="R112" s="755"/>
      <c r="S112" s="292">
        <v>395</v>
      </c>
      <c r="T112" s="784">
        <v>16660</v>
      </c>
      <c r="U112" s="8">
        <f t="shared" si="51"/>
        <v>6580700</v>
      </c>
      <c r="V112" s="439"/>
      <c r="W112" s="756"/>
      <c r="X112" s="782"/>
      <c r="Y112" s="782"/>
      <c r="Z112" s="8">
        <f t="shared" si="52"/>
        <v>0</v>
      </c>
    </row>
    <row r="113" spans="1:26">
      <c r="A113" s="738">
        <f>IF(B113&lt;&gt;"",A112+1,"")</f>
        <v>96</v>
      </c>
      <c r="B113" s="287" t="s">
        <v>430</v>
      </c>
      <c r="C113" s="804">
        <f t="shared" si="38"/>
        <v>3473774</v>
      </c>
      <c r="D113" s="739">
        <f t="shared" si="53"/>
        <v>321427.65650851256</v>
      </c>
      <c r="E113" s="739">
        <f t="shared" si="53"/>
        <v>80131.824731814049</v>
      </c>
      <c r="F113" s="739">
        <f t="shared" si="53"/>
        <v>371976.30357047555</v>
      </c>
      <c r="G113" s="739">
        <f t="shared" si="53"/>
        <v>42778.303890697549</v>
      </c>
      <c r="H113" s="739">
        <f t="shared" si="53"/>
        <v>19293.376741207238</v>
      </c>
      <c r="I113" s="739">
        <f t="shared" si="53"/>
        <v>81414.062550034694</v>
      </c>
      <c r="J113" s="348"/>
      <c r="K113" s="779">
        <f t="shared" si="39"/>
        <v>4390796</v>
      </c>
      <c r="L113" s="739">
        <v>482</v>
      </c>
      <c r="M113" s="739">
        <f t="shared" si="50"/>
        <v>9109.5352697095441</v>
      </c>
      <c r="N113" s="652">
        <v>10600</v>
      </c>
      <c r="O113" s="652"/>
      <c r="P113" s="185" t="s">
        <v>413</v>
      </c>
      <c r="Q113" s="756">
        <v>40723</v>
      </c>
      <c r="R113" s="755"/>
      <c r="S113" s="292">
        <f>L113</f>
        <v>482</v>
      </c>
      <c r="T113" s="784">
        <v>7207</v>
      </c>
      <c r="U113" s="8">
        <f t="shared" si="51"/>
        <v>3473774</v>
      </c>
      <c r="V113" s="439"/>
      <c r="W113" s="756"/>
      <c r="X113" s="782"/>
      <c r="Y113" s="782"/>
      <c r="Z113" s="8">
        <f t="shared" si="52"/>
        <v>0</v>
      </c>
    </row>
    <row r="114" spans="1:26">
      <c r="A114" s="789">
        <f t="shared" si="49"/>
        <v>97</v>
      </c>
      <c r="B114" s="288" t="s">
        <v>560</v>
      </c>
      <c r="C114" s="804">
        <f t="shared" si="38"/>
        <v>788424</v>
      </c>
      <c r="D114" s="520">
        <f t="shared" si="53"/>
        <v>37344.29204248279</v>
      </c>
      <c r="E114" s="520">
        <f t="shared" si="53"/>
        <v>9309.9215456049533</v>
      </c>
      <c r="F114" s="520">
        <f t="shared" si="53"/>
        <v>43217.163900304207</v>
      </c>
      <c r="G114" s="520">
        <f t="shared" si="53"/>
        <v>4970.0933980893424</v>
      </c>
      <c r="H114" s="520">
        <f t="shared" si="53"/>
        <v>2241.5541442066497</v>
      </c>
      <c r="I114" s="520">
        <f t="shared" si="53"/>
        <v>9458.895234028927</v>
      </c>
      <c r="J114" s="520"/>
      <c r="K114" s="779">
        <f t="shared" si="39"/>
        <v>894966</v>
      </c>
      <c r="L114" s="520">
        <v>56</v>
      </c>
      <c r="M114" s="520">
        <f t="shared" si="50"/>
        <v>15981.535714285714</v>
      </c>
      <c r="N114" s="652">
        <v>16713</v>
      </c>
      <c r="O114" s="652"/>
      <c r="P114" s="287" t="s">
        <v>368</v>
      </c>
      <c r="Q114" s="756">
        <v>40723</v>
      </c>
      <c r="R114" s="755"/>
      <c r="S114" s="292">
        <f>L114</f>
        <v>56</v>
      </c>
      <c r="T114" s="784">
        <v>14079</v>
      </c>
      <c r="U114" s="8">
        <f t="shared" si="51"/>
        <v>788424</v>
      </c>
      <c r="V114" s="439"/>
      <c r="W114" s="756"/>
      <c r="X114" s="782"/>
      <c r="Y114" s="782"/>
      <c r="Z114" s="8">
        <f t="shared" si="52"/>
        <v>0</v>
      </c>
    </row>
    <row r="115" spans="1:26">
      <c r="A115" s="738">
        <f>IF(B115&lt;&gt;"",A114+1,"")</f>
        <v>98</v>
      </c>
      <c r="B115" s="287" t="s">
        <v>562</v>
      </c>
      <c r="C115" s="804">
        <f t="shared" si="38"/>
        <v>1223278</v>
      </c>
      <c r="D115" s="739">
        <f t="shared" si="53"/>
        <v>135373.05865400011</v>
      </c>
      <c r="E115" s="739">
        <f t="shared" si="53"/>
        <v>33748.465602817952</v>
      </c>
      <c r="F115" s="739">
        <f t="shared" si="53"/>
        <v>156662.21913860276</v>
      </c>
      <c r="G115" s="739">
        <f t="shared" si="53"/>
        <v>18016.588568073865</v>
      </c>
      <c r="H115" s="739">
        <f t="shared" si="53"/>
        <v>8125.6337727491054</v>
      </c>
      <c r="I115" s="739">
        <f t="shared" si="53"/>
        <v>34288.495223354861</v>
      </c>
      <c r="J115" s="348"/>
      <c r="K115" s="779">
        <f t="shared" si="39"/>
        <v>1609492</v>
      </c>
      <c r="L115" s="739">
        <v>203</v>
      </c>
      <c r="M115" s="739">
        <f t="shared" si="50"/>
        <v>7928.5320197044339</v>
      </c>
      <c r="N115" s="652">
        <v>8450</v>
      </c>
      <c r="O115" s="652"/>
      <c r="P115" s="287" t="s">
        <v>382</v>
      </c>
      <c r="Q115" s="756">
        <v>40723</v>
      </c>
      <c r="R115" s="755"/>
      <c r="S115" s="292">
        <f>L115</f>
        <v>203</v>
      </c>
      <c r="T115" s="784">
        <v>6026</v>
      </c>
      <c r="U115" s="8">
        <f t="shared" si="51"/>
        <v>1223278</v>
      </c>
      <c r="V115" s="439"/>
      <c r="W115" s="756"/>
      <c r="X115" s="782"/>
      <c r="Y115" s="782"/>
      <c r="Z115" s="8">
        <f t="shared" si="52"/>
        <v>0</v>
      </c>
    </row>
    <row r="116" spans="1:26">
      <c r="A116" s="738">
        <f t="shared" si="49"/>
        <v>99</v>
      </c>
      <c r="B116" s="287" t="s">
        <v>563</v>
      </c>
      <c r="C116" s="804">
        <f t="shared" si="38"/>
        <v>4449</v>
      </c>
      <c r="D116" s="739">
        <f t="shared" si="53"/>
        <v>666.86235790147839</v>
      </c>
      <c r="E116" s="739">
        <f t="shared" si="53"/>
        <v>166.24859902865987</v>
      </c>
      <c r="F116" s="739">
        <f t="shared" si="53"/>
        <v>771.73506964828948</v>
      </c>
      <c r="G116" s="739">
        <f t="shared" si="53"/>
        <v>88.751667823023965</v>
      </c>
      <c r="H116" s="739">
        <f t="shared" si="53"/>
        <v>40.027752575118747</v>
      </c>
      <c r="I116" s="739">
        <f t="shared" si="53"/>
        <v>168.90884346480226</v>
      </c>
      <c r="J116" s="348"/>
      <c r="K116" s="779">
        <f t="shared" si="39"/>
        <v>6352</v>
      </c>
      <c r="L116" s="739">
        <v>1</v>
      </c>
      <c r="M116" s="739">
        <f t="shared" si="50"/>
        <v>6352</v>
      </c>
      <c r="N116" s="652">
        <v>5778</v>
      </c>
      <c r="O116" s="652"/>
      <c r="P116" s="185" t="s">
        <v>372</v>
      </c>
      <c r="Q116" s="756">
        <v>40723</v>
      </c>
      <c r="R116" s="755"/>
      <c r="S116" s="292">
        <f>L116</f>
        <v>1</v>
      </c>
      <c r="T116" s="251">
        <v>4449</v>
      </c>
      <c r="U116" s="8">
        <f t="shared" si="51"/>
        <v>4449</v>
      </c>
      <c r="V116" s="439"/>
      <c r="W116" s="756"/>
      <c r="X116" s="782"/>
      <c r="Y116" s="782"/>
      <c r="Z116" s="8">
        <f t="shared" si="52"/>
        <v>0</v>
      </c>
    </row>
    <row r="117" spans="1:26">
      <c r="A117" s="738">
        <f t="shared" si="49"/>
        <v>100</v>
      </c>
      <c r="B117" s="287" t="s">
        <v>432</v>
      </c>
      <c r="C117" s="804">
        <f t="shared" si="38"/>
        <v>8231</v>
      </c>
      <c r="D117" s="739">
        <f t="shared" si="53"/>
        <v>666.86235790147839</v>
      </c>
      <c r="E117" s="739">
        <f t="shared" si="53"/>
        <v>166.24859902865987</v>
      </c>
      <c r="F117" s="739">
        <f t="shared" si="53"/>
        <v>771.73506964828948</v>
      </c>
      <c r="G117" s="739">
        <f t="shared" si="53"/>
        <v>88.751667823023965</v>
      </c>
      <c r="H117" s="739">
        <f t="shared" si="53"/>
        <v>40.027752575118747</v>
      </c>
      <c r="I117" s="739">
        <f t="shared" si="53"/>
        <v>168.90884346480226</v>
      </c>
      <c r="J117" s="348"/>
      <c r="K117" s="779">
        <f t="shared" si="39"/>
        <v>10134</v>
      </c>
      <c r="L117" s="739">
        <v>1</v>
      </c>
      <c r="M117" s="739">
        <f t="shared" si="50"/>
        <v>10134</v>
      </c>
      <c r="N117" s="652">
        <v>10255</v>
      </c>
      <c r="O117" s="652"/>
      <c r="P117" s="185" t="s">
        <v>390</v>
      </c>
      <c r="Q117" s="756">
        <v>40723</v>
      </c>
      <c r="R117" s="755"/>
      <c r="S117" s="292">
        <f>L117/2</f>
        <v>0.5</v>
      </c>
      <c r="T117" s="784">
        <v>16462</v>
      </c>
      <c r="U117" s="8">
        <f t="shared" si="51"/>
        <v>8231</v>
      </c>
      <c r="V117" s="439"/>
      <c r="W117" s="756"/>
      <c r="X117" s="782"/>
      <c r="Y117" s="782"/>
      <c r="Z117" s="8">
        <f t="shared" si="52"/>
        <v>0</v>
      </c>
    </row>
    <row r="118" spans="1:26">
      <c r="A118" s="738">
        <f t="shared" si="49"/>
        <v>101</v>
      </c>
      <c r="B118" s="287" t="s">
        <v>564</v>
      </c>
      <c r="C118" s="804">
        <f t="shared" si="38"/>
        <v>9184</v>
      </c>
      <c r="D118" s="739">
        <f t="shared" ref="D118:I127" si="54">IF($L$149&lt;&gt;0,D$149/$L$149*$L118,0)</f>
        <v>1333.7247158029568</v>
      </c>
      <c r="E118" s="739">
        <f t="shared" si="54"/>
        <v>332.49719805731974</v>
      </c>
      <c r="F118" s="739">
        <f t="shared" si="54"/>
        <v>1543.470139296579</v>
      </c>
      <c r="G118" s="739">
        <f t="shared" si="54"/>
        <v>177.50333564604793</v>
      </c>
      <c r="H118" s="739">
        <f t="shared" si="54"/>
        <v>80.055505150237494</v>
      </c>
      <c r="I118" s="739">
        <f t="shared" si="54"/>
        <v>337.81768692960452</v>
      </c>
      <c r="J118" s="348"/>
      <c r="K118" s="779">
        <f t="shared" si="39"/>
        <v>12989</v>
      </c>
      <c r="L118" s="739">
        <v>2</v>
      </c>
      <c r="M118" s="739">
        <f t="shared" si="50"/>
        <v>6494.5</v>
      </c>
      <c r="N118" s="652">
        <v>7089</v>
      </c>
      <c r="O118" s="652"/>
      <c r="P118" s="185" t="s">
        <v>381</v>
      </c>
      <c r="Q118" s="756">
        <v>40723</v>
      </c>
      <c r="R118" s="755"/>
      <c r="S118" s="292">
        <f>L118</f>
        <v>2</v>
      </c>
      <c r="T118" s="784">
        <v>4592</v>
      </c>
      <c r="U118" s="8">
        <f t="shared" si="51"/>
        <v>9184</v>
      </c>
      <c r="V118" s="439"/>
      <c r="W118" s="756"/>
      <c r="X118" s="782"/>
      <c r="Y118" s="782"/>
      <c r="Z118" s="8">
        <f t="shared" si="52"/>
        <v>0</v>
      </c>
    </row>
    <row r="119" spans="1:26">
      <c r="A119" s="738">
        <f t="shared" si="49"/>
        <v>102</v>
      </c>
      <c r="B119" s="287" t="s">
        <v>442</v>
      </c>
      <c r="C119" s="804">
        <f t="shared" si="38"/>
        <v>13447</v>
      </c>
      <c r="D119" s="739">
        <f t="shared" si="54"/>
        <v>666.86235790147839</v>
      </c>
      <c r="E119" s="739">
        <f t="shared" si="54"/>
        <v>166.24859902865987</v>
      </c>
      <c r="F119" s="739">
        <f t="shared" si="54"/>
        <v>771.73506964828948</v>
      </c>
      <c r="G119" s="739">
        <f t="shared" si="54"/>
        <v>88.751667823023965</v>
      </c>
      <c r="H119" s="739">
        <f t="shared" si="54"/>
        <v>40.027752575118747</v>
      </c>
      <c r="I119" s="739">
        <f t="shared" si="54"/>
        <v>168.90884346480226</v>
      </c>
      <c r="J119" s="348"/>
      <c r="K119" s="779">
        <f t="shared" si="39"/>
        <v>15350</v>
      </c>
      <c r="L119" s="739">
        <v>1</v>
      </c>
      <c r="M119" s="739">
        <f t="shared" si="50"/>
        <v>15350</v>
      </c>
      <c r="N119" s="652">
        <v>15135</v>
      </c>
      <c r="O119" s="652"/>
      <c r="P119" s="39" t="s">
        <v>410</v>
      </c>
      <c r="Q119" s="756">
        <v>40723</v>
      </c>
      <c r="R119" s="755"/>
      <c r="S119" s="292">
        <f>L119/2</f>
        <v>0.5</v>
      </c>
      <c r="T119" s="784">
        <v>26894</v>
      </c>
      <c r="U119" s="8">
        <f t="shared" si="51"/>
        <v>13447</v>
      </c>
      <c r="V119" s="439"/>
      <c r="W119" s="756"/>
      <c r="X119" s="782"/>
      <c r="Y119" s="782"/>
      <c r="Z119" s="8">
        <f t="shared" si="52"/>
        <v>0</v>
      </c>
    </row>
    <row r="120" spans="1:26">
      <c r="A120" s="738">
        <f t="shared" si="49"/>
        <v>103</v>
      </c>
      <c r="B120" s="287" t="s">
        <v>565</v>
      </c>
      <c r="C120" s="804">
        <f t="shared" si="38"/>
        <v>121023</v>
      </c>
      <c r="D120" s="739">
        <f t="shared" si="54"/>
        <v>6001.7612211133055</v>
      </c>
      <c r="E120" s="739">
        <f t="shared" si="54"/>
        <v>1496.2373912579387</v>
      </c>
      <c r="F120" s="739">
        <f t="shared" si="54"/>
        <v>6945.6156268346058</v>
      </c>
      <c r="G120" s="739">
        <f t="shared" si="54"/>
        <v>798.76501040721564</v>
      </c>
      <c r="H120" s="739">
        <f t="shared" si="54"/>
        <v>360.24977317606874</v>
      </c>
      <c r="I120" s="739">
        <f t="shared" si="54"/>
        <v>1520.1795911832203</v>
      </c>
      <c r="J120" s="348"/>
      <c r="K120" s="779">
        <f t="shared" si="39"/>
        <v>138146</v>
      </c>
      <c r="L120" s="739">
        <v>9</v>
      </c>
      <c r="M120" s="739">
        <f t="shared" si="50"/>
        <v>15349.555555555555</v>
      </c>
      <c r="N120" s="652">
        <v>15056</v>
      </c>
      <c r="O120" s="652"/>
      <c r="P120" s="39" t="s">
        <v>410</v>
      </c>
      <c r="Q120" s="756">
        <v>40723</v>
      </c>
      <c r="R120" s="755"/>
      <c r="S120" s="292">
        <f>L120/2</f>
        <v>4.5</v>
      </c>
      <c r="T120" s="784">
        <v>26894</v>
      </c>
      <c r="U120" s="8">
        <f t="shared" si="51"/>
        <v>121023</v>
      </c>
      <c r="V120" s="439"/>
      <c r="W120" s="756"/>
      <c r="X120" s="782"/>
      <c r="Y120" s="782"/>
      <c r="Z120" s="8">
        <f t="shared" si="52"/>
        <v>0</v>
      </c>
    </row>
    <row r="121" spans="1:26">
      <c r="A121" s="738">
        <f t="shared" si="49"/>
        <v>104</v>
      </c>
      <c r="B121" s="287" t="s">
        <v>566</v>
      </c>
      <c r="C121" s="804">
        <f t="shared" si="38"/>
        <v>1782084</v>
      </c>
      <c r="D121" s="739">
        <f t="shared" si="54"/>
        <v>194056.94614933021</v>
      </c>
      <c r="E121" s="739">
        <f t="shared" si="54"/>
        <v>48378.342317340022</v>
      </c>
      <c r="F121" s="739">
        <f t="shared" si="54"/>
        <v>224574.90526765224</v>
      </c>
      <c r="G121" s="739">
        <f t="shared" si="54"/>
        <v>25826.735336499973</v>
      </c>
      <c r="H121" s="739">
        <f t="shared" si="54"/>
        <v>11648.075999359555</v>
      </c>
      <c r="I121" s="739">
        <f t="shared" si="54"/>
        <v>49152.473448257457</v>
      </c>
      <c r="J121" s="348"/>
      <c r="K121" s="779">
        <f t="shared" si="39"/>
        <v>2335721</v>
      </c>
      <c r="L121" s="739">
        <v>291</v>
      </c>
      <c r="M121" s="739">
        <f t="shared" si="50"/>
        <v>8026.5326460481101</v>
      </c>
      <c r="N121" s="652">
        <v>9880</v>
      </c>
      <c r="O121" s="652"/>
      <c r="P121" s="185" t="s">
        <v>371</v>
      </c>
      <c r="Q121" s="756">
        <v>40723</v>
      </c>
      <c r="R121" s="755"/>
      <c r="S121" s="292">
        <f>L121</f>
        <v>291</v>
      </c>
      <c r="T121" s="784">
        <v>6124</v>
      </c>
      <c r="U121" s="8">
        <f t="shared" si="51"/>
        <v>1782084</v>
      </c>
      <c r="V121" s="439"/>
      <c r="W121" s="756"/>
      <c r="X121" s="782"/>
      <c r="Y121" s="782"/>
      <c r="Z121" s="8">
        <f t="shared" si="52"/>
        <v>0</v>
      </c>
    </row>
    <row r="122" spans="1:26">
      <c r="A122" s="738">
        <f t="shared" si="49"/>
        <v>105</v>
      </c>
      <c r="B122" s="287" t="s">
        <v>560</v>
      </c>
      <c r="C122" s="804">
        <f t="shared" si="38"/>
        <v>6124</v>
      </c>
      <c r="D122" s="739">
        <f t="shared" si="54"/>
        <v>666.86235790147839</v>
      </c>
      <c r="E122" s="739">
        <f t="shared" si="54"/>
        <v>166.24859902865987</v>
      </c>
      <c r="F122" s="739">
        <f t="shared" si="54"/>
        <v>771.73506964828948</v>
      </c>
      <c r="G122" s="739">
        <f t="shared" si="54"/>
        <v>88.751667823023965</v>
      </c>
      <c r="H122" s="739">
        <f t="shared" si="54"/>
        <v>40.027752575118747</v>
      </c>
      <c r="I122" s="739">
        <f t="shared" si="54"/>
        <v>168.90884346480226</v>
      </c>
      <c r="J122" s="348"/>
      <c r="K122" s="779">
        <f t="shared" si="39"/>
        <v>8027</v>
      </c>
      <c r="L122" s="739">
        <v>1</v>
      </c>
      <c r="M122" s="739">
        <f t="shared" si="50"/>
        <v>8027</v>
      </c>
      <c r="N122" s="652">
        <v>9259</v>
      </c>
      <c r="O122" s="652"/>
      <c r="P122" s="185" t="s">
        <v>371</v>
      </c>
      <c r="Q122" s="756">
        <v>40723</v>
      </c>
      <c r="R122" s="755"/>
      <c r="S122" s="292">
        <f>L122</f>
        <v>1</v>
      </c>
      <c r="T122" s="784">
        <v>6124</v>
      </c>
      <c r="U122" s="8">
        <f t="shared" si="51"/>
        <v>6124</v>
      </c>
      <c r="V122" s="439"/>
      <c r="W122" s="756"/>
      <c r="X122" s="782"/>
      <c r="Y122" s="782"/>
      <c r="Z122" s="8">
        <f t="shared" si="52"/>
        <v>0</v>
      </c>
    </row>
    <row r="123" spans="1:26">
      <c r="A123" s="738">
        <f t="shared" si="49"/>
        <v>106</v>
      </c>
      <c r="B123" s="287" t="s">
        <v>426</v>
      </c>
      <c r="C123" s="804">
        <f t="shared" si="38"/>
        <v>1913520</v>
      </c>
      <c r="D123" s="739">
        <f t="shared" si="54"/>
        <v>79356.620590275925</v>
      </c>
      <c r="E123" s="739">
        <f t="shared" si="54"/>
        <v>19783.583284410524</v>
      </c>
      <c r="F123" s="739">
        <f t="shared" si="54"/>
        <v>91836.473288146444</v>
      </c>
      <c r="G123" s="739">
        <f t="shared" si="54"/>
        <v>10561.448470939851</v>
      </c>
      <c r="H123" s="739">
        <f t="shared" si="54"/>
        <v>4763.302556439131</v>
      </c>
      <c r="I123" s="739">
        <f t="shared" si="54"/>
        <v>20100.15237231147</v>
      </c>
      <c r="J123" s="348"/>
      <c r="K123" s="779">
        <f t="shared" si="39"/>
        <v>2139922</v>
      </c>
      <c r="L123" s="739">
        <v>119</v>
      </c>
      <c r="M123" s="739">
        <f t="shared" si="50"/>
        <v>17982.537815126052</v>
      </c>
      <c r="N123" s="652">
        <v>17330</v>
      </c>
      <c r="O123" s="652"/>
      <c r="P123" s="39" t="s">
        <v>409</v>
      </c>
      <c r="Q123" s="756">
        <v>40723</v>
      </c>
      <c r="R123" s="755"/>
      <c r="S123" s="292">
        <v>120</v>
      </c>
      <c r="T123" s="784">
        <v>15946</v>
      </c>
      <c r="U123" s="8">
        <f t="shared" si="51"/>
        <v>1913520</v>
      </c>
      <c r="V123" s="439"/>
      <c r="W123" s="756"/>
      <c r="X123" s="782"/>
      <c r="Y123" s="782"/>
      <c r="Z123" s="8">
        <f t="shared" si="52"/>
        <v>0</v>
      </c>
    </row>
    <row r="124" spans="1:26">
      <c r="A124" s="738">
        <f t="shared" si="49"/>
        <v>107</v>
      </c>
      <c r="B124" s="287" t="s">
        <v>552</v>
      </c>
      <c r="C124" s="804">
        <f t="shared" si="38"/>
        <v>3400544</v>
      </c>
      <c r="D124" s="739">
        <f t="shared" si="54"/>
        <v>202726.15680204943</v>
      </c>
      <c r="E124" s="739">
        <f t="shared" si="54"/>
        <v>50539.574104712599</v>
      </c>
      <c r="F124" s="739">
        <f t="shared" si="54"/>
        <v>234607.46117308</v>
      </c>
      <c r="G124" s="739">
        <f t="shared" si="54"/>
        <v>26980.507018199285</v>
      </c>
      <c r="H124" s="739">
        <f t="shared" si="54"/>
        <v>12168.436782836099</v>
      </c>
      <c r="I124" s="739">
        <f t="shared" si="54"/>
        <v>51348.288413299888</v>
      </c>
      <c r="J124" s="348"/>
      <c r="K124" s="779">
        <f t="shared" si="39"/>
        <v>3978914</v>
      </c>
      <c r="L124" s="739">
        <v>304</v>
      </c>
      <c r="M124" s="739">
        <f t="shared" si="50"/>
        <v>13088.532894736842</v>
      </c>
      <c r="N124" s="652">
        <v>13172</v>
      </c>
      <c r="O124" s="652"/>
      <c r="P124" s="39" t="s">
        <v>403</v>
      </c>
      <c r="Q124" s="756">
        <v>40723</v>
      </c>
      <c r="R124" s="755"/>
      <c r="S124" s="292">
        <f>L124/2</f>
        <v>152</v>
      </c>
      <c r="T124" s="784">
        <v>22372</v>
      </c>
      <c r="U124" s="8">
        <f t="shared" si="51"/>
        <v>3400544</v>
      </c>
      <c r="V124" s="439"/>
      <c r="W124" s="756"/>
      <c r="X124" s="782"/>
      <c r="Y124" s="782"/>
      <c r="Z124" s="8">
        <f t="shared" si="52"/>
        <v>0</v>
      </c>
    </row>
    <row r="125" spans="1:26">
      <c r="A125" s="738">
        <f t="shared" si="49"/>
        <v>108</v>
      </c>
      <c r="B125" s="287" t="s">
        <v>551</v>
      </c>
      <c r="C125" s="804">
        <f t="shared" si="38"/>
        <v>464100</v>
      </c>
      <c r="D125" s="739">
        <f t="shared" si="54"/>
        <v>43346.053263596099</v>
      </c>
      <c r="E125" s="739">
        <f t="shared" si="54"/>
        <v>10806.158936862892</v>
      </c>
      <c r="F125" s="739">
        <f t="shared" si="54"/>
        <v>50162.779527138817</v>
      </c>
      <c r="G125" s="739">
        <f t="shared" si="54"/>
        <v>5768.8584084965578</v>
      </c>
      <c r="H125" s="739">
        <f t="shared" si="54"/>
        <v>2601.8039173827187</v>
      </c>
      <c r="I125" s="739">
        <f t="shared" si="54"/>
        <v>10979.074825212147</v>
      </c>
      <c r="J125" s="348"/>
      <c r="K125" s="779">
        <f t="shared" si="39"/>
        <v>587765</v>
      </c>
      <c r="L125" s="739">
        <v>65</v>
      </c>
      <c r="M125" s="739">
        <f t="shared" si="50"/>
        <v>9042.538461538461</v>
      </c>
      <c r="N125" s="652">
        <v>10433</v>
      </c>
      <c r="O125" s="652"/>
      <c r="P125" s="39" t="s">
        <v>411</v>
      </c>
      <c r="Q125" s="756">
        <v>40723</v>
      </c>
      <c r="R125" s="755"/>
      <c r="S125" s="292">
        <f>L125/2</f>
        <v>32.5</v>
      </c>
      <c r="T125" s="784">
        <v>14280</v>
      </c>
      <c r="U125" s="8">
        <f t="shared" si="51"/>
        <v>464100</v>
      </c>
      <c r="V125" s="439"/>
      <c r="W125" s="756"/>
      <c r="X125" s="782"/>
      <c r="Y125" s="782"/>
      <c r="Z125" s="8">
        <f t="shared" si="52"/>
        <v>0</v>
      </c>
    </row>
    <row r="126" spans="1:26">
      <c r="A126" s="738">
        <f t="shared" si="49"/>
        <v>109</v>
      </c>
      <c r="B126" s="287" t="s">
        <v>565</v>
      </c>
      <c r="C126" s="804">
        <f t="shared" si="38"/>
        <v>430304</v>
      </c>
      <c r="D126" s="739">
        <f t="shared" si="54"/>
        <v>21339.595452847308</v>
      </c>
      <c r="E126" s="739">
        <f t="shared" si="54"/>
        <v>5319.9551689171158</v>
      </c>
      <c r="F126" s="739">
        <f t="shared" si="54"/>
        <v>24695.522228745263</v>
      </c>
      <c r="G126" s="739">
        <f t="shared" si="54"/>
        <v>2840.0533703367669</v>
      </c>
      <c r="H126" s="739">
        <f t="shared" si="54"/>
        <v>1280.8880824037999</v>
      </c>
      <c r="I126" s="739">
        <f t="shared" si="54"/>
        <v>5405.0829908736723</v>
      </c>
      <c r="J126" s="348"/>
      <c r="K126" s="779">
        <f t="shared" si="39"/>
        <v>491185</v>
      </c>
      <c r="L126" s="739">
        <v>32</v>
      </c>
      <c r="M126" s="739">
        <f t="shared" si="50"/>
        <v>15349.53125</v>
      </c>
      <c r="N126" s="652">
        <v>15175</v>
      </c>
      <c r="O126" s="652"/>
      <c r="P126" s="39" t="s">
        <v>410</v>
      </c>
      <c r="Q126" s="756">
        <v>40723</v>
      </c>
      <c r="R126" s="755"/>
      <c r="S126" s="292">
        <f t="shared" ref="S126" si="55">L126/2</f>
        <v>16</v>
      </c>
      <c r="T126" s="784">
        <v>26894</v>
      </c>
      <c r="U126" s="8">
        <f t="shared" si="51"/>
        <v>430304</v>
      </c>
      <c r="V126" s="439"/>
      <c r="W126" s="756"/>
      <c r="X126" s="782"/>
      <c r="Y126" s="782"/>
      <c r="Z126" s="8">
        <f t="shared" si="52"/>
        <v>0</v>
      </c>
    </row>
    <row r="127" spans="1:26">
      <c r="A127" s="738">
        <f t="shared" si="49"/>
        <v>110</v>
      </c>
      <c r="B127" s="287" t="s">
        <v>434</v>
      </c>
      <c r="C127" s="804">
        <f t="shared" si="38"/>
        <v>71132</v>
      </c>
      <c r="D127" s="739">
        <f t="shared" si="54"/>
        <v>3334.3117895073919</v>
      </c>
      <c r="E127" s="739">
        <f t="shared" si="54"/>
        <v>831.24299514329937</v>
      </c>
      <c r="F127" s="739">
        <f t="shared" si="54"/>
        <v>3858.6753482414474</v>
      </c>
      <c r="G127" s="739">
        <f t="shared" si="54"/>
        <v>443.75833911511984</v>
      </c>
      <c r="H127" s="739">
        <f t="shared" si="54"/>
        <v>200.13876287559373</v>
      </c>
      <c r="I127" s="739">
        <f t="shared" si="54"/>
        <v>844.54421732401124</v>
      </c>
      <c r="J127" s="348"/>
      <c r="K127" s="779">
        <f t="shared" si="39"/>
        <v>80645</v>
      </c>
      <c r="L127" s="739">
        <v>5</v>
      </c>
      <c r="M127" s="739">
        <f t="shared" si="50"/>
        <v>16129</v>
      </c>
      <c r="N127" s="652">
        <v>15756</v>
      </c>
      <c r="O127" s="652"/>
      <c r="P127" s="185" t="s">
        <v>406</v>
      </c>
      <c r="Q127" s="756">
        <v>40723</v>
      </c>
      <c r="R127" s="755"/>
      <c r="S127" s="292">
        <v>2</v>
      </c>
      <c r="T127" s="784">
        <v>35566</v>
      </c>
      <c r="U127" s="8">
        <f t="shared" si="51"/>
        <v>71132</v>
      </c>
      <c r="V127" s="439"/>
      <c r="W127" s="756"/>
      <c r="X127" s="782"/>
      <c r="Y127" s="782"/>
      <c r="Z127" s="8">
        <f t="shared" si="52"/>
        <v>0</v>
      </c>
    </row>
    <row r="128" spans="1:26">
      <c r="A128" s="738">
        <f t="shared" si="49"/>
        <v>111</v>
      </c>
      <c r="B128" s="287" t="s">
        <v>559</v>
      </c>
      <c r="C128" s="804">
        <f t="shared" si="38"/>
        <v>960200</v>
      </c>
      <c r="D128" s="739">
        <f t="shared" ref="D128:I137" si="56">IF($L$149&lt;&gt;0,D$149/$L$149*$L128,0)</f>
        <v>53348.988632118271</v>
      </c>
      <c r="E128" s="739">
        <f t="shared" si="56"/>
        <v>13299.88792229279</v>
      </c>
      <c r="F128" s="739">
        <f t="shared" si="56"/>
        <v>61738.805571863159</v>
      </c>
      <c r="G128" s="739">
        <f t="shared" si="56"/>
        <v>7100.1334258419174</v>
      </c>
      <c r="H128" s="739">
        <f t="shared" si="56"/>
        <v>3202.2202060094996</v>
      </c>
      <c r="I128" s="739">
        <f t="shared" si="56"/>
        <v>13512.70747718418</v>
      </c>
      <c r="J128" s="348"/>
      <c r="K128" s="779">
        <f t="shared" si="39"/>
        <v>1112403</v>
      </c>
      <c r="L128" s="739">
        <v>80</v>
      </c>
      <c r="M128" s="739">
        <f t="shared" si="50"/>
        <v>13905.0375</v>
      </c>
      <c r="N128" s="652">
        <v>14563</v>
      </c>
      <c r="O128" s="652"/>
      <c r="P128" s="39" t="s">
        <v>404</v>
      </c>
      <c r="Q128" s="756">
        <v>40723</v>
      </c>
      <c r="R128" s="755"/>
      <c r="S128" s="292">
        <f>L128/2</f>
        <v>40</v>
      </c>
      <c r="T128" s="784">
        <v>24005</v>
      </c>
      <c r="U128" s="8">
        <f t="shared" si="51"/>
        <v>960200</v>
      </c>
      <c r="V128" s="439"/>
      <c r="W128" s="756"/>
      <c r="X128" s="782"/>
      <c r="Y128" s="782"/>
      <c r="Z128" s="8">
        <f t="shared" si="52"/>
        <v>0</v>
      </c>
    </row>
    <row r="129" spans="1:26">
      <c r="A129" s="738">
        <f t="shared" si="49"/>
        <v>112</v>
      </c>
      <c r="B129" s="287" t="s">
        <v>430</v>
      </c>
      <c r="C129" s="804">
        <f t="shared" si="38"/>
        <v>349860</v>
      </c>
      <c r="D129" s="739">
        <f t="shared" si="56"/>
        <v>32676.255537172441</v>
      </c>
      <c r="E129" s="739">
        <f t="shared" si="56"/>
        <v>8146.1813524043337</v>
      </c>
      <c r="F129" s="739">
        <f t="shared" si="56"/>
        <v>37815.018412766185</v>
      </c>
      <c r="G129" s="739">
        <f t="shared" si="56"/>
        <v>4348.8317233281741</v>
      </c>
      <c r="H129" s="739">
        <f t="shared" si="56"/>
        <v>1961.3598761808187</v>
      </c>
      <c r="I129" s="739">
        <f t="shared" si="56"/>
        <v>8276.5333297753114</v>
      </c>
      <c r="J129" s="348"/>
      <c r="K129" s="779">
        <f t="shared" si="39"/>
        <v>443084</v>
      </c>
      <c r="L129" s="739">
        <v>49</v>
      </c>
      <c r="M129" s="739">
        <f t="shared" si="50"/>
        <v>9042.5306122448983</v>
      </c>
      <c r="N129" s="652">
        <v>10698</v>
      </c>
      <c r="O129" s="652"/>
      <c r="P129" s="39" t="s">
        <v>411</v>
      </c>
      <c r="Q129" s="756">
        <v>40723</v>
      </c>
      <c r="R129" s="755"/>
      <c r="S129" s="292">
        <f>L129/2</f>
        <v>24.5</v>
      </c>
      <c r="T129" s="784">
        <v>14280</v>
      </c>
      <c r="U129" s="8">
        <f t="shared" si="51"/>
        <v>349860</v>
      </c>
      <c r="V129" s="439"/>
      <c r="W129" s="756"/>
      <c r="X129" s="782"/>
      <c r="Y129" s="782"/>
      <c r="Z129" s="8">
        <f t="shared" si="52"/>
        <v>0</v>
      </c>
    </row>
    <row r="130" spans="1:26">
      <c r="A130" s="738">
        <f t="shared" si="49"/>
        <v>113</v>
      </c>
      <c r="B130" s="287" t="s">
        <v>441</v>
      </c>
      <c r="C130" s="804">
        <f t="shared" si="38"/>
        <v>9184</v>
      </c>
      <c r="D130" s="739">
        <f t="shared" si="56"/>
        <v>1333.7247158029568</v>
      </c>
      <c r="E130" s="739">
        <f t="shared" si="56"/>
        <v>332.49719805731974</v>
      </c>
      <c r="F130" s="739">
        <f t="shared" si="56"/>
        <v>1543.470139296579</v>
      </c>
      <c r="G130" s="739">
        <f t="shared" si="56"/>
        <v>177.50333564604793</v>
      </c>
      <c r="H130" s="739">
        <f t="shared" si="56"/>
        <v>80.055505150237494</v>
      </c>
      <c r="I130" s="739">
        <f t="shared" si="56"/>
        <v>337.81768692960452</v>
      </c>
      <c r="J130" s="348"/>
      <c r="K130" s="779">
        <f t="shared" si="39"/>
        <v>12989</v>
      </c>
      <c r="L130" s="739">
        <v>2</v>
      </c>
      <c r="M130" s="739">
        <f t="shared" si="50"/>
        <v>6494.5</v>
      </c>
      <c r="N130" s="652">
        <v>7435</v>
      </c>
      <c r="O130" s="652"/>
      <c r="P130" s="185" t="s">
        <v>381</v>
      </c>
      <c r="Q130" s="756">
        <v>40723</v>
      </c>
      <c r="R130" s="755"/>
      <c r="S130" s="292">
        <f>L130</f>
        <v>2</v>
      </c>
      <c r="T130" s="784">
        <v>4592</v>
      </c>
      <c r="U130" s="8">
        <f t="shared" si="51"/>
        <v>9184</v>
      </c>
      <c r="V130" s="439"/>
      <c r="W130" s="756"/>
      <c r="X130" s="782"/>
      <c r="Y130" s="782"/>
      <c r="Z130" s="8">
        <f t="shared" si="52"/>
        <v>0</v>
      </c>
    </row>
    <row r="131" spans="1:26">
      <c r="A131" s="738">
        <f t="shared" si="49"/>
        <v>114</v>
      </c>
      <c r="B131" s="287" t="s">
        <v>567</v>
      </c>
      <c r="C131" s="804">
        <f t="shared" si="38"/>
        <v>16462</v>
      </c>
      <c r="D131" s="739">
        <f t="shared" si="56"/>
        <v>1333.7247158029568</v>
      </c>
      <c r="E131" s="739">
        <f t="shared" si="56"/>
        <v>332.49719805731974</v>
      </c>
      <c r="F131" s="739">
        <f t="shared" si="56"/>
        <v>1543.470139296579</v>
      </c>
      <c r="G131" s="739">
        <f t="shared" si="56"/>
        <v>177.50333564604793</v>
      </c>
      <c r="H131" s="739">
        <f t="shared" si="56"/>
        <v>80.055505150237494</v>
      </c>
      <c r="I131" s="739">
        <f t="shared" si="56"/>
        <v>337.81768692960452</v>
      </c>
      <c r="J131" s="348"/>
      <c r="K131" s="779">
        <f t="shared" si="39"/>
        <v>20267</v>
      </c>
      <c r="L131" s="739">
        <v>2</v>
      </c>
      <c r="M131" s="739">
        <f t="shared" si="50"/>
        <v>10133.5</v>
      </c>
      <c r="N131" s="652">
        <v>10116</v>
      </c>
      <c r="O131" s="652"/>
      <c r="P131" s="185" t="s">
        <v>390</v>
      </c>
      <c r="Q131" s="756">
        <v>40723</v>
      </c>
      <c r="R131" s="755"/>
      <c r="S131" s="292">
        <f>L131/2</f>
        <v>1</v>
      </c>
      <c r="T131" s="784">
        <v>16462</v>
      </c>
      <c r="U131" s="8">
        <f t="shared" si="51"/>
        <v>16462</v>
      </c>
      <c r="V131" s="439"/>
      <c r="W131" s="756"/>
      <c r="X131" s="782"/>
      <c r="Y131" s="782"/>
      <c r="Z131" s="8">
        <f t="shared" si="52"/>
        <v>0</v>
      </c>
    </row>
    <row r="132" spans="1:26">
      <c r="A132" s="738">
        <f t="shared" si="49"/>
        <v>115</v>
      </c>
      <c r="B132" s="287" t="s">
        <v>566</v>
      </c>
      <c r="C132" s="804">
        <f t="shared" si="38"/>
        <v>30620</v>
      </c>
      <c r="D132" s="739">
        <f t="shared" si="56"/>
        <v>3334.3117895073919</v>
      </c>
      <c r="E132" s="739">
        <f t="shared" si="56"/>
        <v>831.24299514329937</v>
      </c>
      <c r="F132" s="739">
        <f t="shared" si="56"/>
        <v>3858.6753482414474</v>
      </c>
      <c r="G132" s="739">
        <f t="shared" si="56"/>
        <v>443.75833911511984</v>
      </c>
      <c r="H132" s="739">
        <f t="shared" si="56"/>
        <v>200.13876287559373</v>
      </c>
      <c r="I132" s="739">
        <f t="shared" si="56"/>
        <v>844.54421732401124</v>
      </c>
      <c r="J132" s="348"/>
      <c r="K132" s="779">
        <f t="shared" si="39"/>
        <v>40133</v>
      </c>
      <c r="L132" s="739">
        <v>5</v>
      </c>
      <c r="M132" s="739">
        <f t="shared" si="50"/>
        <v>8026.6</v>
      </c>
      <c r="N132" s="652">
        <v>9692</v>
      </c>
      <c r="O132" s="652"/>
      <c r="P132" s="185" t="s">
        <v>371</v>
      </c>
      <c r="Q132" s="756">
        <v>40723</v>
      </c>
      <c r="R132" s="755"/>
      <c r="S132" s="292">
        <f>L132</f>
        <v>5</v>
      </c>
      <c r="T132" s="784">
        <v>6124</v>
      </c>
      <c r="U132" s="8">
        <f t="shared" si="51"/>
        <v>30620</v>
      </c>
      <c r="V132" s="439"/>
      <c r="W132" s="756"/>
      <c r="X132" s="782"/>
      <c r="Y132" s="782"/>
      <c r="Z132" s="8">
        <f t="shared" si="52"/>
        <v>0</v>
      </c>
    </row>
    <row r="133" spans="1:26">
      <c r="A133" s="738">
        <f t="shared" si="49"/>
        <v>116</v>
      </c>
      <c r="B133" s="287" t="s">
        <v>438</v>
      </c>
      <c r="C133" s="804">
        <f t="shared" si="38"/>
        <v>8231</v>
      </c>
      <c r="D133" s="739">
        <f t="shared" si="56"/>
        <v>666.86235790147839</v>
      </c>
      <c r="E133" s="739">
        <f t="shared" si="56"/>
        <v>166.24859902865987</v>
      </c>
      <c r="F133" s="739">
        <f t="shared" si="56"/>
        <v>771.73506964828948</v>
      </c>
      <c r="G133" s="739">
        <f t="shared" si="56"/>
        <v>88.751667823023965</v>
      </c>
      <c r="H133" s="739">
        <f t="shared" si="56"/>
        <v>40.027752575118747</v>
      </c>
      <c r="I133" s="739">
        <f t="shared" si="56"/>
        <v>168.90884346480226</v>
      </c>
      <c r="J133" s="348"/>
      <c r="K133" s="779">
        <f t="shared" si="39"/>
        <v>10134</v>
      </c>
      <c r="L133" s="739">
        <v>1</v>
      </c>
      <c r="M133" s="739">
        <f t="shared" si="50"/>
        <v>10134</v>
      </c>
      <c r="N133" s="652">
        <v>12286</v>
      </c>
      <c r="O133" s="652"/>
      <c r="P133" s="185" t="s">
        <v>390</v>
      </c>
      <c r="Q133" s="756">
        <v>40723</v>
      </c>
      <c r="R133" s="755"/>
      <c r="S133" s="292">
        <f>L133/2</f>
        <v>0.5</v>
      </c>
      <c r="T133" s="784">
        <v>16462</v>
      </c>
      <c r="U133" s="8">
        <f t="shared" si="51"/>
        <v>8231</v>
      </c>
      <c r="V133" s="439"/>
      <c r="W133" s="756"/>
      <c r="X133" s="782"/>
      <c r="Y133" s="782"/>
      <c r="Z133" s="8">
        <f t="shared" si="52"/>
        <v>0</v>
      </c>
    </row>
    <row r="134" spans="1:26">
      <c r="A134" s="738">
        <f t="shared" si="49"/>
        <v>117</v>
      </c>
      <c r="B134" s="287" t="s">
        <v>440</v>
      </c>
      <c r="C134" s="804">
        <f t="shared" si="38"/>
        <v>4449</v>
      </c>
      <c r="D134" s="739">
        <f t="shared" si="56"/>
        <v>666.86235790147839</v>
      </c>
      <c r="E134" s="739">
        <f t="shared" si="56"/>
        <v>166.24859902865987</v>
      </c>
      <c r="F134" s="739">
        <f t="shared" si="56"/>
        <v>771.73506964828948</v>
      </c>
      <c r="G134" s="739">
        <f t="shared" si="56"/>
        <v>88.751667823023965</v>
      </c>
      <c r="H134" s="739">
        <f t="shared" si="56"/>
        <v>40.027752575118747</v>
      </c>
      <c r="I134" s="739">
        <f t="shared" si="56"/>
        <v>168.90884346480226</v>
      </c>
      <c r="J134" s="348"/>
      <c r="K134" s="779">
        <f t="shared" si="39"/>
        <v>6352</v>
      </c>
      <c r="L134" s="739">
        <v>1</v>
      </c>
      <c r="M134" s="739">
        <f t="shared" si="50"/>
        <v>6352</v>
      </c>
      <c r="N134" s="652">
        <v>5285</v>
      </c>
      <c r="O134" s="652"/>
      <c r="P134" s="185" t="s">
        <v>372</v>
      </c>
      <c r="Q134" s="756">
        <v>40723</v>
      </c>
      <c r="R134" s="755"/>
      <c r="S134" s="292">
        <f>L134</f>
        <v>1</v>
      </c>
      <c r="T134" s="251">
        <v>4449</v>
      </c>
      <c r="U134" s="8">
        <f t="shared" si="51"/>
        <v>4449</v>
      </c>
      <c r="V134" s="439"/>
      <c r="W134" s="756"/>
      <c r="X134" s="782"/>
      <c r="Y134" s="782"/>
      <c r="Z134" s="8">
        <f t="shared" si="52"/>
        <v>0</v>
      </c>
    </row>
    <row r="135" spans="1:26">
      <c r="A135" s="738">
        <f t="shared" si="49"/>
        <v>118</v>
      </c>
      <c r="B135" s="287" t="s">
        <v>436</v>
      </c>
      <c r="C135" s="804">
        <f t="shared" si="38"/>
        <v>42237</v>
      </c>
      <c r="D135" s="739">
        <f t="shared" si="56"/>
        <v>2000.5870737044352</v>
      </c>
      <c r="E135" s="739">
        <f t="shared" si="56"/>
        <v>498.74579708597958</v>
      </c>
      <c r="F135" s="739">
        <f t="shared" si="56"/>
        <v>2315.2052089448684</v>
      </c>
      <c r="G135" s="739">
        <f t="shared" si="56"/>
        <v>266.25500346907188</v>
      </c>
      <c r="H135" s="739">
        <f t="shared" si="56"/>
        <v>120.08325772535625</v>
      </c>
      <c r="I135" s="739">
        <f t="shared" si="56"/>
        <v>506.72653039440678</v>
      </c>
      <c r="J135" s="348"/>
      <c r="K135" s="779">
        <f t="shared" si="39"/>
        <v>47945</v>
      </c>
      <c r="L135" s="739">
        <v>3</v>
      </c>
      <c r="M135" s="739">
        <f t="shared" si="50"/>
        <v>15981.666666666666</v>
      </c>
      <c r="N135" s="652">
        <v>16841</v>
      </c>
      <c r="O135" s="652"/>
      <c r="P135" s="287" t="s">
        <v>368</v>
      </c>
      <c r="Q135" s="756">
        <v>40723</v>
      </c>
      <c r="R135" s="755"/>
      <c r="S135" s="292">
        <f>L135</f>
        <v>3</v>
      </c>
      <c r="T135" s="784">
        <v>14079</v>
      </c>
      <c r="U135" s="8">
        <f t="shared" si="51"/>
        <v>42237</v>
      </c>
      <c r="V135" s="439"/>
      <c r="W135" s="756"/>
      <c r="X135" s="782"/>
      <c r="Y135" s="782"/>
      <c r="Z135" s="8">
        <f t="shared" si="52"/>
        <v>0</v>
      </c>
    </row>
    <row r="136" spans="1:26">
      <c r="A136" s="738">
        <f t="shared" si="49"/>
        <v>119</v>
      </c>
      <c r="B136" s="287" t="s">
        <v>431</v>
      </c>
      <c r="C136" s="804">
        <f t="shared" si="38"/>
        <v>16462</v>
      </c>
      <c r="D136" s="739">
        <f t="shared" si="56"/>
        <v>1333.7247158029568</v>
      </c>
      <c r="E136" s="739">
        <f t="shared" si="56"/>
        <v>332.49719805731974</v>
      </c>
      <c r="F136" s="739">
        <f t="shared" si="56"/>
        <v>1543.470139296579</v>
      </c>
      <c r="G136" s="739">
        <f t="shared" si="56"/>
        <v>177.50333564604793</v>
      </c>
      <c r="H136" s="739">
        <f t="shared" si="56"/>
        <v>80.055505150237494</v>
      </c>
      <c r="I136" s="739">
        <f t="shared" si="56"/>
        <v>337.81768692960452</v>
      </c>
      <c r="J136" s="348"/>
      <c r="K136" s="779">
        <f t="shared" si="39"/>
        <v>20267</v>
      </c>
      <c r="L136" s="739">
        <v>2</v>
      </c>
      <c r="M136" s="739">
        <f t="shared" si="50"/>
        <v>10133.5</v>
      </c>
      <c r="N136" s="652">
        <v>11428</v>
      </c>
      <c r="O136" s="652"/>
      <c r="P136" s="185" t="s">
        <v>390</v>
      </c>
      <c r="Q136" s="756">
        <v>40723</v>
      </c>
      <c r="R136" s="755"/>
      <c r="S136" s="292">
        <f>L136/2</f>
        <v>1</v>
      </c>
      <c r="T136" s="784">
        <v>16462</v>
      </c>
      <c r="U136" s="8">
        <f t="shared" si="51"/>
        <v>16462</v>
      </c>
      <c r="V136" s="439"/>
      <c r="W136" s="756"/>
      <c r="X136" s="782"/>
      <c r="Y136" s="782"/>
      <c r="Z136" s="8">
        <f t="shared" si="52"/>
        <v>0</v>
      </c>
    </row>
    <row r="137" spans="1:26">
      <c r="A137" s="738">
        <f t="shared" si="49"/>
        <v>120</v>
      </c>
      <c r="B137" s="287" t="s">
        <v>562</v>
      </c>
      <c r="C137" s="804">
        <f t="shared" si="38"/>
        <v>48208</v>
      </c>
      <c r="D137" s="739">
        <f t="shared" si="56"/>
        <v>5334.8988632118271</v>
      </c>
      <c r="E137" s="739">
        <f t="shared" si="56"/>
        <v>1329.9887922292789</v>
      </c>
      <c r="F137" s="739">
        <f t="shared" si="56"/>
        <v>6173.8805571863159</v>
      </c>
      <c r="G137" s="739">
        <f t="shared" si="56"/>
        <v>710.01334258419172</v>
      </c>
      <c r="H137" s="739">
        <f t="shared" si="56"/>
        <v>320.22202060094997</v>
      </c>
      <c r="I137" s="739">
        <f t="shared" si="56"/>
        <v>1351.2707477184181</v>
      </c>
      <c r="J137" s="348"/>
      <c r="K137" s="779">
        <f t="shared" si="39"/>
        <v>63428</v>
      </c>
      <c r="L137" s="739">
        <v>8</v>
      </c>
      <c r="M137" s="739">
        <f t="shared" si="50"/>
        <v>7928.5</v>
      </c>
      <c r="N137" s="652">
        <v>8549</v>
      </c>
      <c r="O137" s="652"/>
      <c r="P137" s="287" t="s">
        <v>382</v>
      </c>
      <c r="Q137" s="756">
        <v>40723</v>
      </c>
      <c r="R137" s="755"/>
      <c r="S137" s="292">
        <f>L137</f>
        <v>8</v>
      </c>
      <c r="T137" s="784">
        <v>6026</v>
      </c>
      <c r="U137" s="8">
        <f t="shared" si="51"/>
        <v>48208</v>
      </c>
      <c r="V137" s="439"/>
      <c r="W137" s="756"/>
      <c r="X137" s="782"/>
      <c r="Y137" s="782"/>
      <c r="Z137" s="8">
        <f t="shared" si="52"/>
        <v>0</v>
      </c>
    </row>
    <row r="138" spans="1:26">
      <c r="A138" s="738">
        <f t="shared" si="49"/>
        <v>121</v>
      </c>
      <c r="B138" s="287" t="s">
        <v>429</v>
      </c>
      <c r="C138" s="804">
        <f t="shared" si="38"/>
        <v>6124</v>
      </c>
      <c r="D138" s="739">
        <f t="shared" ref="D138:I147" si="57">IF($L$149&lt;&gt;0,D$149/$L$149*$L138,0)</f>
        <v>666.86235790147839</v>
      </c>
      <c r="E138" s="739">
        <f t="shared" si="57"/>
        <v>166.24859902865987</v>
      </c>
      <c r="F138" s="739">
        <f t="shared" si="57"/>
        <v>771.73506964828948</v>
      </c>
      <c r="G138" s="739">
        <f t="shared" si="57"/>
        <v>88.751667823023965</v>
      </c>
      <c r="H138" s="739">
        <f t="shared" si="57"/>
        <v>40.027752575118747</v>
      </c>
      <c r="I138" s="739">
        <f t="shared" si="57"/>
        <v>168.90884346480226</v>
      </c>
      <c r="J138" s="348"/>
      <c r="K138" s="779">
        <f t="shared" si="39"/>
        <v>8027</v>
      </c>
      <c r="L138" s="739">
        <v>1</v>
      </c>
      <c r="M138" s="739">
        <f t="shared" si="50"/>
        <v>8027</v>
      </c>
      <c r="N138" s="652">
        <v>9357</v>
      </c>
      <c r="O138" s="652"/>
      <c r="P138" s="185" t="s">
        <v>371</v>
      </c>
      <c r="Q138" s="756">
        <v>40723</v>
      </c>
      <c r="R138" s="755"/>
      <c r="S138" s="292">
        <f>L138</f>
        <v>1</v>
      </c>
      <c r="T138" s="784">
        <v>6124</v>
      </c>
      <c r="U138" s="8">
        <f t="shared" si="51"/>
        <v>6124</v>
      </c>
      <c r="V138" s="439"/>
      <c r="W138" s="756"/>
      <c r="X138" s="782"/>
      <c r="Y138" s="782"/>
      <c r="Z138" s="8">
        <f t="shared" si="52"/>
        <v>0</v>
      </c>
    </row>
    <row r="139" spans="1:26">
      <c r="A139" s="738">
        <f t="shared" si="49"/>
        <v>122</v>
      </c>
      <c r="B139" s="287" t="s">
        <v>432</v>
      </c>
      <c r="C139" s="804">
        <f t="shared" si="38"/>
        <v>8231</v>
      </c>
      <c r="D139" s="739">
        <f t="shared" si="57"/>
        <v>666.86235790147839</v>
      </c>
      <c r="E139" s="739">
        <f t="shared" si="57"/>
        <v>166.24859902865987</v>
      </c>
      <c r="F139" s="739">
        <f t="shared" si="57"/>
        <v>771.73506964828948</v>
      </c>
      <c r="G139" s="739">
        <f t="shared" si="57"/>
        <v>88.751667823023965</v>
      </c>
      <c r="H139" s="739">
        <f t="shared" si="57"/>
        <v>40.027752575118747</v>
      </c>
      <c r="I139" s="739">
        <f t="shared" si="57"/>
        <v>168.90884346480226</v>
      </c>
      <c r="J139" s="348"/>
      <c r="K139" s="779">
        <f t="shared" si="39"/>
        <v>10134</v>
      </c>
      <c r="L139" s="739">
        <v>1</v>
      </c>
      <c r="M139" s="739">
        <f t="shared" si="50"/>
        <v>10134</v>
      </c>
      <c r="N139" s="652">
        <v>10343</v>
      </c>
      <c r="O139" s="652"/>
      <c r="P139" s="185" t="s">
        <v>390</v>
      </c>
      <c r="Q139" s="756">
        <v>40723</v>
      </c>
      <c r="R139" s="755"/>
      <c r="S139" s="292">
        <f>L139/2</f>
        <v>0.5</v>
      </c>
      <c r="T139" s="784">
        <v>16462</v>
      </c>
      <c r="U139" s="8">
        <f t="shared" si="51"/>
        <v>8231</v>
      </c>
      <c r="V139" s="439"/>
      <c r="W139" s="756"/>
      <c r="X139" s="782"/>
      <c r="Y139" s="782"/>
      <c r="Z139" s="8">
        <f t="shared" si="52"/>
        <v>0</v>
      </c>
    </row>
    <row r="140" spans="1:26">
      <c r="A140" s="738">
        <f t="shared" si="49"/>
        <v>123</v>
      </c>
      <c r="B140" s="287" t="s">
        <v>433</v>
      </c>
      <c r="C140" s="804">
        <f t="shared" si="38"/>
        <v>36780</v>
      </c>
      <c r="D140" s="739">
        <f t="shared" si="57"/>
        <v>2667.4494316059136</v>
      </c>
      <c r="E140" s="739">
        <f t="shared" si="57"/>
        <v>664.99439611463947</v>
      </c>
      <c r="F140" s="739">
        <f t="shared" si="57"/>
        <v>3086.9402785931579</v>
      </c>
      <c r="G140" s="739">
        <f t="shared" si="57"/>
        <v>355.00667129209586</v>
      </c>
      <c r="H140" s="739">
        <f t="shared" si="57"/>
        <v>160.11101030047499</v>
      </c>
      <c r="I140" s="739">
        <f t="shared" si="57"/>
        <v>675.63537385920904</v>
      </c>
      <c r="J140" s="348"/>
      <c r="K140" s="779">
        <f t="shared" si="39"/>
        <v>44390</v>
      </c>
      <c r="L140" s="739">
        <v>4</v>
      </c>
      <c r="M140" s="739">
        <f t="shared" si="50"/>
        <v>11097.5</v>
      </c>
      <c r="N140" s="652">
        <v>12670</v>
      </c>
      <c r="O140" s="652"/>
      <c r="P140" s="185" t="s">
        <v>405</v>
      </c>
      <c r="Q140" s="756">
        <v>40723</v>
      </c>
      <c r="R140" s="755"/>
      <c r="S140" s="292">
        <f>L140/2</f>
        <v>2</v>
      </c>
      <c r="T140" s="784">
        <v>18390</v>
      </c>
      <c r="U140" s="8">
        <f t="shared" si="51"/>
        <v>36780</v>
      </c>
      <c r="V140" s="439"/>
      <c r="W140" s="756"/>
      <c r="X140" s="782"/>
      <c r="Y140" s="782"/>
      <c r="Z140" s="8">
        <f t="shared" si="52"/>
        <v>0</v>
      </c>
    </row>
    <row r="141" spans="1:26">
      <c r="A141" s="738">
        <f t="shared" si="49"/>
        <v>124</v>
      </c>
      <c r="B141" s="287" t="s">
        <v>437</v>
      </c>
      <c r="C141" s="804">
        <f t="shared" si="38"/>
        <v>8231</v>
      </c>
      <c r="D141" s="739">
        <f t="shared" si="57"/>
        <v>666.86235790147839</v>
      </c>
      <c r="E141" s="739">
        <f t="shared" si="57"/>
        <v>166.24859902865987</v>
      </c>
      <c r="F141" s="739">
        <f t="shared" si="57"/>
        <v>771.73506964828948</v>
      </c>
      <c r="G141" s="739">
        <f t="shared" si="57"/>
        <v>88.751667823023965</v>
      </c>
      <c r="H141" s="739">
        <f t="shared" si="57"/>
        <v>40.027752575118747</v>
      </c>
      <c r="I141" s="739">
        <f t="shared" si="57"/>
        <v>168.90884346480226</v>
      </c>
      <c r="J141" s="348"/>
      <c r="K141" s="779">
        <f t="shared" si="39"/>
        <v>10134</v>
      </c>
      <c r="L141" s="739">
        <v>1</v>
      </c>
      <c r="M141" s="739">
        <f t="shared" si="50"/>
        <v>10134</v>
      </c>
      <c r="N141" s="652">
        <v>12305</v>
      </c>
      <c r="O141" s="652"/>
      <c r="P141" s="185" t="s">
        <v>390</v>
      </c>
      <c r="Q141" s="756">
        <v>40723</v>
      </c>
      <c r="R141" s="755"/>
      <c r="S141" s="292">
        <f>L141/2</f>
        <v>0.5</v>
      </c>
      <c r="T141" s="784">
        <v>16462</v>
      </c>
      <c r="U141" s="8">
        <f t="shared" si="51"/>
        <v>8231</v>
      </c>
      <c r="V141" s="439"/>
      <c r="W141" s="756"/>
      <c r="X141" s="782"/>
      <c r="Y141" s="782"/>
      <c r="Z141" s="8">
        <f t="shared" si="52"/>
        <v>0</v>
      </c>
    </row>
    <row r="142" spans="1:26">
      <c r="A142" s="738">
        <f t="shared" si="49"/>
        <v>125</v>
      </c>
      <c r="B142" s="287" t="s">
        <v>569</v>
      </c>
      <c r="C142" s="804">
        <f t="shared" si="38"/>
        <v>8898</v>
      </c>
      <c r="D142" s="739">
        <f t="shared" si="57"/>
        <v>1333.7247158029568</v>
      </c>
      <c r="E142" s="739">
        <f t="shared" si="57"/>
        <v>332.49719805731974</v>
      </c>
      <c r="F142" s="739">
        <f t="shared" si="57"/>
        <v>1543.470139296579</v>
      </c>
      <c r="G142" s="739">
        <f t="shared" si="57"/>
        <v>177.50333564604793</v>
      </c>
      <c r="H142" s="739">
        <f t="shared" si="57"/>
        <v>80.055505150237494</v>
      </c>
      <c r="I142" s="739">
        <f t="shared" si="57"/>
        <v>337.81768692960452</v>
      </c>
      <c r="J142" s="348"/>
      <c r="K142" s="779">
        <f t="shared" si="39"/>
        <v>12703</v>
      </c>
      <c r="L142" s="739">
        <v>2</v>
      </c>
      <c r="M142" s="739">
        <f t="shared" si="50"/>
        <v>6351.5</v>
      </c>
      <c r="N142" s="652">
        <v>6113</v>
      </c>
      <c r="O142" s="652"/>
      <c r="P142" s="185" t="s">
        <v>372</v>
      </c>
      <c r="Q142" s="756">
        <v>40723</v>
      </c>
      <c r="R142" s="755"/>
      <c r="S142" s="292">
        <f>L142</f>
        <v>2</v>
      </c>
      <c r="T142" s="251">
        <v>4449</v>
      </c>
      <c r="U142" s="8">
        <f t="shared" si="51"/>
        <v>8898</v>
      </c>
      <c r="V142" s="439"/>
      <c r="W142" s="756"/>
      <c r="X142" s="782"/>
      <c r="Y142" s="782"/>
      <c r="Z142" s="8">
        <f t="shared" si="52"/>
        <v>0</v>
      </c>
    </row>
    <row r="143" spans="1:26">
      <c r="A143" s="738">
        <f t="shared" si="49"/>
        <v>126</v>
      </c>
      <c r="B143" s="287" t="s">
        <v>570</v>
      </c>
      <c r="C143" s="804">
        <f t="shared" si="38"/>
        <v>18390</v>
      </c>
      <c r="D143" s="739">
        <f t="shared" si="57"/>
        <v>1333.7247158029568</v>
      </c>
      <c r="E143" s="739">
        <f t="shared" si="57"/>
        <v>332.49719805731974</v>
      </c>
      <c r="F143" s="739">
        <f t="shared" si="57"/>
        <v>1543.470139296579</v>
      </c>
      <c r="G143" s="739">
        <f t="shared" si="57"/>
        <v>177.50333564604793</v>
      </c>
      <c r="H143" s="739">
        <f t="shared" si="57"/>
        <v>80.055505150237494</v>
      </c>
      <c r="I143" s="739">
        <f t="shared" si="57"/>
        <v>337.81768692960452</v>
      </c>
      <c r="J143" s="348"/>
      <c r="K143" s="779">
        <f t="shared" si="39"/>
        <v>22195</v>
      </c>
      <c r="L143" s="739">
        <v>2</v>
      </c>
      <c r="M143" s="739">
        <f t="shared" si="50"/>
        <v>11097.5</v>
      </c>
      <c r="N143" s="652">
        <v>12824</v>
      </c>
      <c r="O143" s="652"/>
      <c r="P143" s="185" t="s">
        <v>405</v>
      </c>
      <c r="Q143" s="756">
        <v>40723</v>
      </c>
      <c r="R143" s="755"/>
      <c r="S143" s="292">
        <f>L143/2</f>
        <v>1</v>
      </c>
      <c r="T143" s="784">
        <v>18390</v>
      </c>
      <c r="U143" s="8">
        <f t="shared" si="51"/>
        <v>18390</v>
      </c>
      <c r="V143" s="439"/>
      <c r="W143" s="756"/>
      <c r="X143" s="782"/>
      <c r="Y143" s="782"/>
      <c r="Z143" s="8">
        <f t="shared" si="52"/>
        <v>0</v>
      </c>
    </row>
    <row r="144" spans="1:26">
      <c r="A144" s="738">
        <f t="shared" si="49"/>
        <v>127</v>
      </c>
      <c r="B144" s="287" t="s">
        <v>428</v>
      </c>
      <c r="C144" s="804">
        <f t="shared" si="38"/>
        <v>444092.5</v>
      </c>
      <c r="D144" s="739">
        <f t="shared" si="57"/>
        <v>24673.9072423547</v>
      </c>
      <c r="E144" s="739">
        <f t="shared" si="57"/>
        <v>6151.1981640604154</v>
      </c>
      <c r="F144" s="739">
        <f t="shared" si="57"/>
        <v>28554.197576986709</v>
      </c>
      <c r="G144" s="739">
        <f t="shared" si="57"/>
        <v>3283.8117094518866</v>
      </c>
      <c r="H144" s="739">
        <f t="shared" si="57"/>
        <v>1481.0268452793937</v>
      </c>
      <c r="I144" s="739">
        <f t="shared" si="57"/>
        <v>6249.627208197684</v>
      </c>
      <c r="J144" s="348"/>
      <c r="K144" s="779">
        <f t="shared" si="39"/>
        <v>514486</v>
      </c>
      <c r="L144" s="739">
        <v>37</v>
      </c>
      <c r="M144" s="739">
        <f t="shared" si="50"/>
        <v>13905.027027027027</v>
      </c>
      <c r="N144" s="652">
        <v>14591</v>
      </c>
      <c r="O144" s="652"/>
      <c r="P144" s="39" t="s">
        <v>404</v>
      </c>
      <c r="Q144" s="756">
        <v>40723</v>
      </c>
      <c r="R144" s="755"/>
      <c r="S144" s="292">
        <f>L144/2</f>
        <v>18.5</v>
      </c>
      <c r="T144" s="784">
        <v>24005</v>
      </c>
      <c r="U144" s="8">
        <f t="shared" si="51"/>
        <v>444092.5</v>
      </c>
      <c r="V144" s="439"/>
      <c r="W144" s="756"/>
      <c r="X144" s="782"/>
      <c r="Y144" s="782"/>
      <c r="Z144" s="8">
        <f t="shared" si="52"/>
        <v>0</v>
      </c>
    </row>
    <row r="145" spans="1:26">
      <c r="A145" s="789">
        <f t="shared" si="49"/>
        <v>128</v>
      </c>
      <c r="B145" s="288" t="s">
        <v>571</v>
      </c>
      <c r="C145" s="804">
        <f t="shared" si="38"/>
        <v>7177495</v>
      </c>
      <c r="D145" s="520">
        <f t="shared" si="57"/>
        <v>598175.53503762616</v>
      </c>
      <c r="E145" s="520">
        <f t="shared" si="57"/>
        <v>149124.9933287079</v>
      </c>
      <c r="F145" s="520">
        <f t="shared" si="57"/>
        <v>692246.35747451568</v>
      </c>
      <c r="G145" s="520">
        <f t="shared" si="57"/>
        <v>79610.246037252495</v>
      </c>
      <c r="H145" s="520">
        <f t="shared" si="57"/>
        <v>35904.894059881517</v>
      </c>
      <c r="I145" s="520">
        <f t="shared" si="57"/>
        <v>151511.23258792763</v>
      </c>
      <c r="J145" s="520"/>
      <c r="K145" s="779">
        <f t="shared" si="39"/>
        <v>8884068</v>
      </c>
      <c r="L145" s="520">
        <v>897</v>
      </c>
      <c r="M145" s="520">
        <f t="shared" si="50"/>
        <v>9904.2006688963211</v>
      </c>
      <c r="N145" s="652">
        <v>11877</v>
      </c>
      <c r="O145" s="652"/>
      <c r="P145" s="39" t="s">
        <v>404</v>
      </c>
      <c r="Q145" s="756">
        <v>40723</v>
      </c>
      <c r="R145" s="755"/>
      <c r="S145" s="292">
        <f>L145/3</f>
        <v>299</v>
      </c>
      <c r="T145" s="784">
        <v>24005</v>
      </c>
      <c r="U145" s="8">
        <f t="shared" si="51"/>
        <v>7177495</v>
      </c>
      <c r="V145" s="439"/>
      <c r="W145" s="756"/>
      <c r="X145" s="782"/>
      <c r="Y145" s="782"/>
      <c r="Z145" s="8">
        <f t="shared" si="52"/>
        <v>0</v>
      </c>
    </row>
    <row r="146" spans="1:26">
      <c r="A146" s="738">
        <f>IF(B146&lt;&gt;"",A145+1,"")</f>
        <v>129</v>
      </c>
      <c r="B146" s="287" t="s">
        <v>568</v>
      </c>
      <c r="C146" s="804">
        <f t="shared" si="38"/>
        <v>1067760</v>
      </c>
      <c r="D146" s="739">
        <f t="shared" si="57"/>
        <v>611512.78219565563</v>
      </c>
      <c r="E146" s="739">
        <f t="shared" si="57"/>
        <v>152449.96530928111</v>
      </c>
      <c r="F146" s="739">
        <f t="shared" si="57"/>
        <v>707681.05886748142</v>
      </c>
      <c r="G146" s="739">
        <f t="shared" si="57"/>
        <v>81385.279393712975</v>
      </c>
      <c r="H146" s="739">
        <f t="shared" si="57"/>
        <v>36705.449111383889</v>
      </c>
      <c r="I146" s="739">
        <f t="shared" si="57"/>
        <v>154889.40945722366</v>
      </c>
      <c r="J146" s="348"/>
      <c r="K146" s="779">
        <f t="shared" si="39"/>
        <v>2812384</v>
      </c>
      <c r="L146" s="739">
        <v>917</v>
      </c>
      <c r="M146" s="739">
        <f t="shared" si="50"/>
        <v>3066.940021810251</v>
      </c>
      <c r="N146" s="652">
        <v>2866</v>
      </c>
      <c r="O146" s="652"/>
      <c r="P146" s="185" t="s">
        <v>372</v>
      </c>
      <c r="Q146" s="756">
        <v>40723</v>
      </c>
      <c r="R146" s="755"/>
      <c r="S146" s="292">
        <v>240</v>
      </c>
      <c r="T146" s="251">
        <v>4449</v>
      </c>
      <c r="U146" s="8">
        <f t="shared" si="51"/>
        <v>1067760</v>
      </c>
      <c r="V146" s="439"/>
      <c r="W146" s="756"/>
      <c r="X146" s="782"/>
      <c r="Y146" s="782"/>
      <c r="Z146" s="8">
        <f t="shared" si="52"/>
        <v>0</v>
      </c>
    </row>
    <row r="147" spans="1:26">
      <c r="A147" s="738">
        <f t="shared" si="49"/>
        <v>130</v>
      </c>
      <c r="B147" s="287" t="s">
        <v>572</v>
      </c>
      <c r="C147" s="804">
        <f t="shared" ref="C147" si="58">U147</f>
        <v>1018394</v>
      </c>
      <c r="D147" s="739">
        <f t="shared" si="57"/>
        <v>112699.73848534985</v>
      </c>
      <c r="E147" s="739">
        <f t="shared" si="57"/>
        <v>28096.013235843518</v>
      </c>
      <c r="F147" s="739">
        <f t="shared" si="57"/>
        <v>130423.22677056093</v>
      </c>
      <c r="G147" s="739">
        <f t="shared" si="57"/>
        <v>14999.031862091049</v>
      </c>
      <c r="H147" s="739">
        <f t="shared" si="57"/>
        <v>6764.6901851950679</v>
      </c>
      <c r="I147" s="739">
        <f t="shared" si="57"/>
        <v>28545.594545551583</v>
      </c>
      <c r="J147" s="348"/>
      <c r="K147" s="779">
        <f t="shared" ref="K147" si="59">ROUND(SUM(C147:I147),0)</f>
        <v>1339922</v>
      </c>
      <c r="L147" s="739">
        <v>169</v>
      </c>
      <c r="M147" s="739">
        <f t="shared" si="50"/>
        <v>7928.5325443786978</v>
      </c>
      <c r="N147" s="652">
        <v>8678</v>
      </c>
      <c r="O147" s="652"/>
      <c r="P147" s="287" t="s">
        <v>382</v>
      </c>
      <c r="Q147" s="756">
        <v>40723</v>
      </c>
      <c r="R147" s="755"/>
      <c r="S147" s="292">
        <f>L147</f>
        <v>169</v>
      </c>
      <c r="T147" s="784">
        <v>6026</v>
      </c>
      <c r="U147" s="8">
        <f t="shared" si="51"/>
        <v>1018394</v>
      </c>
      <c r="V147" s="439"/>
      <c r="W147" s="756"/>
      <c r="X147" s="782"/>
      <c r="Y147" s="782"/>
      <c r="Z147" s="8">
        <f t="shared" si="52"/>
        <v>0</v>
      </c>
    </row>
    <row r="148" spans="1:26" s="760" customFormat="1">
      <c r="A148" s="738"/>
      <c r="B148" s="768"/>
      <c r="C148" s="769"/>
      <c r="D148" s="770"/>
      <c r="E148" s="771"/>
      <c r="F148" s="771"/>
      <c r="G148" s="291"/>
      <c r="H148" s="771"/>
      <c r="I148" s="463"/>
      <c r="J148" s="443"/>
      <c r="K148" s="770"/>
      <c r="L148" s="772"/>
      <c r="M148" s="771"/>
      <c r="N148" s="652"/>
      <c r="O148" s="652"/>
      <c r="P148" s="439"/>
      <c r="Q148" s="756"/>
      <c r="R148" s="755"/>
      <c r="S148" s="808"/>
      <c r="T148" s="784"/>
      <c r="U148" s="25"/>
      <c r="V148" s="439"/>
      <c r="W148" s="756"/>
      <c r="X148" s="784"/>
      <c r="Y148" s="784"/>
      <c r="Z148" s="773"/>
    </row>
    <row r="149" spans="1:26" s="735" customFormat="1">
      <c r="A149" s="740"/>
      <c r="B149" s="741" t="s">
        <v>253</v>
      </c>
      <c r="C149" s="521">
        <f>SUM(C18:C148)</f>
        <v>196254021.5</v>
      </c>
      <c r="D149" s="521">
        <v>12495000</v>
      </c>
      <c r="E149" s="521">
        <f>$Z$149</f>
        <v>3115000</v>
      </c>
      <c r="F149" s="521">
        <v>14460000</v>
      </c>
      <c r="G149" s="521">
        <v>1662940</v>
      </c>
      <c r="H149" s="521">
        <v>750000</v>
      </c>
      <c r="I149" s="521">
        <v>3164845</v>
      </c>
      <c r="J149" s="440">
        <f>ROUND(SUM(J18:J148),0)</f>
        <v>0</v>
      </c>
      <c r="K149" s="521">
        <f>ROUND(SUM(K18:K148),0)</f>
        <v>231901799</v>
      </c>
      <c r="L149" s="521">
        <f>ROUND(SUM(L18:L148),0)</f>
        <v>18737</v>
      </c>
      <c r="M149" s="521"/>
      <c r="N149" s="749"/>
      <c r="O149" s="749"/>
      <c r="P149" s="761"/>
      <c r="Q149" s="762"/>
      <c r="R149" s="763"/>
      <c r="S149" s="803"/>
      <c r="T149" s="27"/>
      <c r="U149" s="45">
        <f>SUM(U18:U148)</f>
        <v>196254021.5</v>
      </c>
      <c r="V149" s="761"/>
      <c r="W149" s="762"/>
      <c r="X149" s="774"/>
      <c r="Y149" s="27"/>
      <c r="Z149" s="45">
        <f>SUM(Z18:Z148)</f>
        <v>3115000</v>
      </c>
    </row>
    <row r="150" spans="1:26" s="735" customFormat="1">
      <c r="A150" s="742"/>
      <c r="B150" s="743"/>
      <c r="C150" s="736"/>
      <c r="D150" s="736"/>
      <c r="E150" s="736"/>
      <c r="F150" s="736"/>
      <c r="G150" s="736"/>
      <c r="H150" s="736"/>
      <c r="I150" s="736"/>
      <c r="J150" s="441"/>
      <c r="K150" s="736">
        <v>324946305</v>
      </c>
      <c r="L150" s="736"/>
      <c r="M150" s="736"/>
      <c r="N150" s="749"/>
      <c r="O150" s="749"/>
      <c r="P150" s="442"/>
      <c r="Q150" s="764"/>
      <c r="R150" s="765"/>
      <c r="S150" s="801"/>
      <c r="T150" s="752"/>
      <c r="U150" s="766"/>
      <c r="V150" s="442"/>
      <c r="W150" s="764"/>
      <c r="X150" s="752"/>
      <c r="Y150" s="752"/>
      <c r="Z150" s="775"/>
    </row>
    <row r="151" spans="1:26" s="735" customFormat="1">
      <c r="A151" s="742"/>
      <c r="B151" s="743"/>
      <c r="C151" s="736"/>
      <c r="D151" s="736"/>
      <c r="E151" s="736"/>
      <c r="F151" s="736"/>
      <c r="G151" s="736"/>
      <c r="H151" s="736"/>
      <c r="I151" s="736"/>
      <c r="J151" s="441"/>
      <c r="K151" s="736"/>
      <c r="L151" s="736"/>
      <c r="M151" s="736"/>
      <c r="N151" s="749"/>
      <c r="O151" s="749"/>
      <c r="P151" s="442"/>
      <c r="Q151" s="764"/>
      <c r="R151" s="765"/>
      <c r="S151" s="801"/>
      <c r="T151" s="752"/>
      <c r="U151" s="766"/>
      <c r="V151" s="442"/>
      <c r="W151" s="764"/>
      <c r="X151" s="752"/>
      <c r="Y151" s="752"/>
      <c r="Z151" s="775"/>
    </row>
    <row r="152" spans="1:26" s="735" customFormat="1">
      <c r="A152" s="742"/>
      <c r="B152" s="743"/>
      <c r="C152" s="736"/>
      <c r="D152" s="736"/>
      <c r="E152" s="736"/>
      <c r="F152" s="736"/>
      <c r="G152" s="736"/>
      <c r="H152" s="736"/>
      <c r="I152" s="736"/>
      <c r="J152" s="441"/>
      <c r="K152" s="736">
        <f>K150-K149</f>
        <v>93044506</v>
      </c>
      <c r="L152" s="736"/>
      <c r="M152" s="736"/>
      <c r="N152" s="749"/>
      <c r="O152" s="749"/>
      <c r="P152" s="733"/>
      <c r="Q152" s="764"/>
      <c r="R152" s="765"/>
      <c r="S152" s="801"/>
      <c r="T152" s="752"/>
      <c r="U152" s="775"/>
      <c r="V152" s="442"/>
      <c r="W152" s="764"/>
      <c r="X152" s="752"/>
      <c r="Y152" s="752"/>
      <c r="Z152" s="775"/>
    </row>
    <row r="153" spans="1:26" s="735" customFormat="1">
      <c r="A153" s="742"/>
      <c r="B153" s="743"/>
      <c r="C153" s="736"/>
      <c r="D153" s="736"/>
      <c r="E153" s="736"/>
      <c r="F153" s="736"/>
      <c r="G153" s="736"/>
      <c r="H153" s="736"/>
      <c r="I153" s="736"/>
      <c r="J153" s="441"/>
      <c r="K153" s="736"/>
      <c r="L153" s="736"/>
      <c r="M153" s="736"/>
      <c r="N153" s="749"/>
      <c r="O153" s="749"/>
      <c r="P153" s="733"/>
      <c r="Q153" s="764"/>
      <c r="R153" s="765"/>
      <c r="S153" s="801"/>
      <c r="T153" s="752"/>
      <c r="U153" s="775"/>
      <c r="V153" s="442"/>
      <c r="W153" s="764"/>
      <c r="X153" s="752"/>
      <c r="Y153" s="752"/>
      <c r="Z153" s="775"/>
    </row>
    <row r="154" spans="1:26">
      <c r="P154" s="442"/>
      <c r="Q154" s="764"/>
      <c r="R154" s="765"/>
      <c r="S154" s="801"/>
      <c r="T154" s="752"/>
      <c r="U154" s="766"/>
      <c r="V154" s="442"/>
      <c r="W154" s="764"/>
      <c r="X154" s="752"/>
      <c r="Y154" s="752"/>
      <c r="Z154" s="775"/>
    </row>
    <row r="155" spans="1:26" s="735" customFormat="1">
      <c r="A155" s="734"/>
      <c r="B155" s="734"/>
      <c r="C155" s="734"/>
      <c r="D155" s="734"/>
      <c r="E155" s="734"/>
      <c r="F155" s="734"/>
      <c r="G155" s="734"/>
      <c r="H155" s="734"/>
      <c r="I155" s="734"/>
      <c r="J155" s="426"/>
      <c r="K155" s="284"/>
      <c r="L155" s="734"/>
      <c r="M155" s="734"/>
      <c r="N155" s="652"/>
      <c r="O155" s="652"/>
      <c r="P155" s="734"/>
      <c r="Q155" s="747"/>
      <c r="R155" s="748"/>
      <c r="S155" s="795"/>
      <c r="T155" s="284"/>
      <c r="U155" s="734"/>
      <c r="V155" s="734"/>
      <c r="W155" s="747"/>
      <c r="X155" s="284"/>
      <c r="Y155" s="284"/>
      <c r="Z155" s="734"/>
    </row>
    <row r="156" spans="1:26">
      <c r="N156" s="652"/>
      <c r="O156" s="652"/>
    </row>
    <row r="157" spans="1:26">
      <c r="K157" s="767"/>
      <c r="N157" s="652"/>
      <c r="O157" s="652"/>
    </row>
    <row r="158" spans="1:26">
      <c r="N158" s="652"/>
      <c r="O158" s="652"/>
    </row>
  </sheetData>
  <sortState ref="A359:AB597">
    <sortCondition ref="W359:W597"/>
  </sortState>
  <dataValidations count="1">
    <dataValidation type="list" allowBlank="1" showInputMessage="1" showErrorMessage="1" sqref="P6 P17 V6 V17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2" customWidth="1"/>
    <col min="2" max="2" width="15.7109375" style="572" customWidth="1"/>
    <col min="3" max="3" width="16.85546875" style="572" customWidth="1"/>
    <col min="4" max="9" width="15.28515625" style="572" customWidth="1"/>
    <col min="10" max="10" width="10.140625" style="572" customWidth="1"/>
    <col min="11" max="11" width="5.85546875" style="572" customWidth="1"/>
    <col min="12" max="16384" width="10.28515625" style="572"/>
  </cols>
  <sheetData>
    <row r="1" spans="1:11" s="444" customFormat="1" ht="19.5" customHeight="1">
      <c r="A1" s="559" t="str">
        <f>TH!A1</f>
        <v>Đơn vị: CÔNG TY TNHH MỘT THÀNH VIÊN KHỞI NGUYÊN AN</v>
      </c>
      <c r="B1" s="559"/>
      <c r="D1" s="445"/>
      <c r="E1" s="445"/>
      <c r="F1" s="445"/>
      <c r="G1" s="1014" t="s">
        <v>254</v>
      </c>
      <c r="H1" s="1014"/>
      <c r="I1" s="1014"/>
      <c r="J1" s="446"/>
      <c r="K1" s="447"/>
    </row>
    <row r="2" spans="1:11" s="444" customFormat="1" ht="19.5" customHeight="1">
      <c r="A2" s="607" t="str">
        <f>TH!A2</f>
        <v>Địa chỉ: Thửa đất số 144, tờ bản đồ số 12TĐH.1, tổ 1, khu phố Đông Tác, Phường Tân Đông Hiệp, Thị Xã Dĩ An, Tỉnh Bình Dương, Việt Nam</v>
      </c>
      <c r="B2" s="559"/>
      <c r="D2" s="448"/>
      <c r="E2" s="448"/>
      <c r="F2" s="448"/>
      <c r="G2" s="1015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1015"/>
      <c r="I2" s="1015"/>
      <c r="J2" s="446"/>
      <c r="K2" s="424">
        <v>1</v>
      </c>
    </row>
    <row r="3" spans="1:11" s="444" customFormat="1" ht="15">
      <c r="A3" s="560"/>
      <c r="B3" s="561"/>
      <c r="C3" s="448"/>
      <c r="D3" s="448"/>
      <c r="E3" s="448"/>
      <c r="F3" s="448"/>
      <c r="G3" s="1015"/>
      <c r="H3" s="1015"/>
      <c r="I3" s="1015"/>
      <c r="J3" s="446"/>
    </row>
    <row r="4" spans="1:11" s="563" customFormat="1" ht="17.25" customHeight="1">
      <c r="A4" s="1016" t="s">
        <v>255</v>
      </c>
      <c r="B4" s="1016"/>
      <c r="C4" s="1016"/>
      <c r="D4" s="1016"/>
      <c r="E4" s="1016"/>
      <c r="F4" s="1016"/>
      <c r="G4" s="1016"/>
      <c r="H4" s="1016"/>
      <c r="I4" s="1016"/>
      <c r="J4" s="562"/>
    </row>
    <row r="5" spans="1:11" s="564" customFormat="1" ht="17.25" customHeight="1">
      <c r="B5" s="565"/>
      <c r="C5" s="566" t="s">
        <v>351</v>
      </c>
      <c r="D5" s="565" t="str">
        <f>IF($K$2&lt;10,"0"&amp;$K$2&amp;"  năm 2011",$K$2&amp;"  năm 2011")</f>
        <v>01  năm 2011</v>
      </c>
      <c r="E5" s="565"/>
      <c r="F5" s="565"/>
      <c r="G5" s="565"/>
      <c r="H5" s="565"/>
      <c r="I5" s="565"/>
      <c r="J5" s="565"/>
    </row>
    <row r="6" spans="1:11" s="564" customFormat="1" ht="17.25" customHeight="1">
      <c r="B6" s="567"/>
      <c r="C6" s="1017" t="s">
        <v>256</v>
      </c>
      <c r="D6" s="1017"/>
      <c r="E6" s="1018"/>
      <c r="F6" s="1018"/>
      <c r="G6" s="1018"/>
      <c r="H6" s="687"/>
      <c r="I6" s="567"/>
      <c r="J6" s="565"/>
    </row>
    <row r="7" spans="1:11" s="569" customFormat="1" ht="9.75" customHeight="1">
      <c r="A7" s="568"/>
      <c r="B7" s="568"/>
      <c r="C7" s="568"/>
      <c r="D7" s="568"/>
      <c r="E7" s="568"/>
      <c r="F7" s="568"/>
      <c r="G7" s="568"/>
      <c r="H7" s="568"/>
      <c r="I7" s="568"/>
      <c r="J7" s="567"/>
    </row>
    <row r="8" spans="1:11" s="450" customFormat="1" ht="17.25" customHeight="1">
      <c r="A8" s="1019" t="s">
        <v>257</v>
      </c>
      <c r="B8" s="1020" t="s">
        <v>258</v>
      </c>
      <c r="C8" s="1020" t="s">
        <v>259</v>
      </c>
      <c r="D8" s="1020"/>
      <c r="E8" s="1020"/>
      <c r="F8" s="1020"/>
      <c r="G8" s="1020"/>
      <c r="H8" s="1020"/>
      <c r="I8" s="1020"/>
      <c r="J8" s="449"/>
    </row>
    <row r="9" spans="1:11" s="453" customFormat="1" ht="35.25" customHeight="1">
      <c r="A9" s="1019"/>
      <c r="B9" s="1020"/>
      <c r="C9" s="451" t="s">
        <v>449</v>
      </c>
      <c r="D9" s="451" t="s">
        <v>260</v>
      </c>
      <c r="E9" s="451" t="s">
        <v>450</v>
      </c>
      <c r="F9" s="451" t="s">
        <v>451</v>
      </c>
      <c r="G9" s="451" t="s">
        <v>261</v>
      </c>
      <c r="H9" s="451" t="s">
        <v>262</v>
      </c>
      <c r="I9" s="451" t="s">
        <v>452</v>
      </c>
      <c r="J9" s="452"/>
    </row>
    <row r="10" spans="1:11" s="456" customFormat="1" ht="15">
      <c r="A10" s="454" t="s">
        <v>2</v>
      </c>
      <c r="B10" s="455">
        <v>1</v>
      </c>
      <c r="C10" s="455">
        <v>2</v>
      </c>
      <c r="D10" s="455">
        <v>3</v>
      </c>
      <c r="E10" s="455">
        <v>4</v>
      </c>
      <c r="F10" s="455">
        <v>5</v>
      </c>
      <c r="G10" s="455">
        <v>6</v>
      </c>
      <c r="H10" s="455">
        <v>7</v>
      </c>
      <c r="I10" s="455">
        <v>8</v>
      </c>
      <c r="J10" s="446"/>
    </row>
    <row r="11" spans="1:11" s="564" customFormat="1" ht="24.75" customHeight="1">
      <c r="A11" s="570" t="s">
        <v>263</v>
      </c>
      <c r="B11" s="571">
        <f>ROUND(SUM(C11:I11),0)</f>
        <v>0</v>
      </c>
      <c r="C11" s="571">
        <v>0</v>
      </c>
      <c r="D11" s="571">
        <v>0</v>
      </c>
      <c r="E11" s="571">
        <v>0</v>
      </c>
      <c r="F11" s="571">
        <v>0</v>
      </c>
      <c r="G11" s="571">
        <v>0</v>
      </c>
      <c r="H11" s="571">
        <v>0</v>
      </c>
      <c r="I11" s="571">
        <v>0</v>
      </c>
      <c r="J11" s="565"/>
    </row>
    <row r="12" spans="1:11" s="564" customFormat="1" ht="24.75" customHeight="1">
      <c r="A12" s="570" t="s">
        <v>264</v>
      </c>
      <c r="B12" s="571">
        <f ca="1">ROUND(SUM(C12:I12),0)</f>
        <v>0</v>
      </c>
      <c r="C12" s="571">
        <f ca="1">IF(ISNA(VLOOKUP($E6,INDIRECT("DSSP"&amp;$K$2),5,0)),0,VLOOKUP($E6,INDIRECT("DSSP"&amp;$K$2),5,0))</f>
        <v>0</v>
      </c>
      <c r="D12" s="571">
        <f ca="1">IF(ISNA(VLOOKUP($E6,INDIRECT("DSSP"&amp;$K$2),6,0)),0,VLOOKUP($E6,INDIRECT("DSSP"&amp;$K$2),6,0))</f>
        <v>0</v>
      </c>
      <c r="E12" s="571">
        <f ca="1">IF(ISNA(VLOOKUP($E6,INDIRECT("DSSP"&amp;$K$2),7,0)),0,VLOOKUP($E6,INDIRECT("DSSP"&amp;$K$2),7,0))</f>
        <v>0</v>
      </c>
      <c r="F12" s="571">
        <f ca="1">IF(ISNA(VLOOKUP($E6,INDIRECT("DSSP"&amp;$K$2),8,0)),0,VLOOKUP($E6,INDIRECT("DSSP"&amp;$K$2),8,0))</f>
        <v>0</v>
      </c>
      <c r="G12" s="571">
        <f ca="1">IF(ISNA(VLOOKUP($E6,INDIRECT("DSSP"&amp;$K$2),9,0)),0,VLOOKUP($E6,INDIRECT("DSSP"&amp;$K$2),9,0))</f>
        <v>0</v>
      </c>
      <c r="H12" s="571">
        <f ca="1">IF(ISNA(VLOOKUP($E6,INDIRECT("DSSP"&amp;$K$2),10,0)),0,VLOOKUP($E6,INDIRECT("DSSP"&amp;$K$2),10,0))</f>
        <v>0</v>
      </c>
      <c r="I12" s="571">
        <f ca="1">IF(ISNA(VLOOKUP($E6,INDIRECT("DSSP"&amp;$K$2),11,0)),0,VLOOKUP($E6,INDIRECT("DSSP"&amp;$K$2),11,0))</f>
        <v>0</v>
      </c>
      <c r="J12" s="565"/>
    </row>
    <row r="13" spans="1:11" s="564" customFormat="1" ht="24.75" customHeight="1">
      <c r="A13" s="570" t="s">
        <v>265</v>
      </c>
      <c r="B13" s="571">
        <f ca="1">ROUND(IF(ISNA(VLOOKUP($E6,INDIRECT("DSSP"&amp;$K$2),13,0)),0,VLOOKUP($E6,INDIRECT("DSSP"&amp;$K$2),13,0)),0)</f>
        <v>0</v>
      </c>
      <c r="C13" s="571">
        <f t="shared" ref="C13:I13" ca="1" si="0">C12</f>
        <v>0</v>
      </c>
      <c r="D13" s="571">
        <f t="shared" ca="1" si="0"/>
        <v>0</v>
      </c>
      <c r="E13" s="571">
        <f t="shared" ca="1" si="0"/>
        <v>0</v>
      </c>
      <c r="F13" s="571"/>
      <c r="G13" s="571">
        <f t="shared" ca="1" si="0"/>
        <v>0</v>
      </c>
      <c r="H13" s="571"/>
      <c r="I13" s="571">
        <f t="shared" ca="1" si="0"/>
        <v>0</v>
      </c>
      <c r="J13" s="565"/>
    </row>
    <row r="14" spans="1:11" s="564" customFormat="1" ht="24.75" customHeight="1">
      <c r="A14" s="570" t="s">
        <v>266</v>
      </c>
      <c r="B14" s="571">
        <f ca="1">B12-B13</f>
        <v>0</v>
      </c>
      <c r="C14" s="571">
        <f t="shared" ref="C14:I14" ca="1" si="1">C12-C13</f>
        <v>0</v>
      </c>
      <c r="D14" s="571">
        <f t="shared" ca="1" si="1"/>
        <v>0</v>
      </c>
      <c r="E14" s="571">
        <f t="shared" ca="1" si="1"/>
        <v>0</v>
      </c>
      <c r="F14" s="571"/>
      <c r="G14" s="571">
        <f t="shared" ca="1" si="1"/>
        <v>0</v>
      </c>
      <c r="H14" s="571"/>
      <c r="I14" s="571">
        <f t="shared" ca="1" si="1"/>
        <v>0</v>
      </c>
      <c r="J14" s="565"/>
    </row>
    <row r="15" spans="1:11" s="564" customFormat="1" ht="15">
      <c r="B15" s="565"/>
      <c r="C15" s="565"/>
      <c r="D15" s="565"/>
      <c r="E15" s="565"/>
      <c r="F15" s="565"/>
      <c r="G15" s="565"/>
      <c r="H15" s="565"/>
      <c r="I15" s="565"/>
      <c r="J15" s="565"/>
    </row>
    <row r="16" spans="1:11" s="564" customFormat="1" ht="15">
      <c r="B16" s="565"/>
      <c r="C16" s="565"/>
      <c r="D16" s="565"/>
      <c r="E16" s="1013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13"/>
      <c r="G16" s="1013"/>
      <c r="H16" s="1013"/>
      <c r="I16" s="1013"/>
      <c r="J16" s="565"/>
    </row>
    <row r="17" spans="2:10" s="564" customFormat="1" ht="15">
      <c r="B17" s="456" t="s">
        <v>267</v>
      </c>
      <c r="C17" s="565"/>
      <c r="D17" s="565"/>
      <c r="E17" s="1013" t="s">
        <v>12</v>
      </c>
      <c r="F17" s="1013"/>
      <c r="G17" s="1013"/>
      <c r="H17" s="1013"/>
      <c r="I17" s="1013"/>
      <c r="J17" s="565"/>
    </row>
    <row r="19" spans="2:10" ht="15">
      <c r="E19" s="573"/>
      <c r="F19" s="573"/>
    </row>
    <row r="26" spans="2:10">
      <c r="B26" s="547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82" customWidth="1"/>
    <col min="2" max="2" width="9.140625" style="482" customWidth="1"/>
    <col min="3" max="3" width="9" style="483" customWidth="1"/>
    <col min="4" max="4" width="28.140625" style="482" customWidth="1"/>
    <col min="5" max="5" width="9.140625" style="482" customWidth="1"/>
    <col min="6" max="6" width="9.28515625" style="483" customWidth="1"/>
    <col min="7" max="7" width="9" style="482" customWidth="1"/>
    <col min="8" max="8" width="14.5703125" style="482" customWidth="1"/>
    <col min="9" max="9" width="6" style="482" customWidth="1"/>
    <col min="10" max="10" width="14.140625" style="482" customWidth="1"/>
    <col min="11" max="11" width="14.85546875" style="484" customWidth="1"/>
    <col min="12" max="12" width="14.42578125" style="482" customWidth="1"/>
    <col min="13" max="13" width="5.85546875" style="482" customWidth="1"/>
    <col min="14" max="14" width="7.42578125" style="482" customWidth="1"/>
    <col min="15" max="15" width="11.7109375" style="482" customWidth="1"/>
    <col min="16" max="16" width="4.5703125" style="548" customWidth="1"/>
    <col min="17" max="17" width="11.140625" style="482" bestFit="1" customWidth="1"/>
    <col min="18" max="18" width="12" style="482" bestFit="1" customWidth="1"/>
    <col min="19" max="16384" width="9.140625" style="482"/>
  </cols>
  <sheetData>
    <row r="1" spans="1:18" ht="15" customHeight="1">
      <c r="A1" s="608" t="str">
        <f>TH!A1</f>
        <v>Đơn vị: CÔNG TY TNHH MỘT THÀNH VIÊN KHỞI NGUYÊN AN</v>
      </c>
      <c r="L1" s="1031" t="s">
        <v>294</v>
      </c>
      <c r="M1" s="1031"/>
      <c r="N1" s="1031"/>
      <c r="O1" s="1031"/>
    </row>
    <row r="2" spans="1:18" ht="15" customHeight="1">
      <c r="A2" s="481" t="str">
        <f>TH!A2</f>
        <v>Địa chỉ: Thửa đất số 144, tờ bản đồ số 12TĐH.1, tổ 1, khu phố Đông Tác, Phường Tân Đông Hiệp, Thị Xã Dĩ An, Tỉnh Bình Dương, Việt Nam</v>
      </c>
      <c r="L2" s="1030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030"/>
      <c r="N2" s="1030"/>
      <c r="O2" s="1030"/>
    </row>
    <row r="3" spans="1:18" ht="15" customHeight="1">
      <c r="L3" s="1030"/>
      <c r="M3" s="1030"/>
      <c r="N3" s="1030"/>
      <c r="O3" s="1030"/>
    </row>
    <row r="5" spans="1:18" s="487" customFormat="1" ht="24" customHeight="1">
      <c r="A5" s="1032" t="s">
        <v>295</v>
      </c>
      <c r="B5" s="1032"/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M5" s="1032"/>
      <c r="N5" s="1032"/>
      <c r="O5" s="1032"/>
      <c r="P5" s="549"/>
    </row>
    <row r="6" spans="1:18" s="487" customFormat="1" ht="21" customHeight="1">
      <c r="A6" s="1033" t="s">
        <v>453</v>
      </c>
      <c r="B6" s="1033"/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  <c r="O6" s="1033"/>
      <c r="P6" s="549"/>
    </row>
    <row r="7" spans="1:18" s="487" customFormat="1" ht="21" customHeight="1">
      <c r="A7" s="1034" t="s">
        <v>337</v>
      </c>
      <c r="B7" s="1034"/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  <c r="O7" s="1034"/>
      <c r="P7" s="549"/>
    </row>
    <row r="8" spans="1:18">
      <c r="D8" s="483"/>
    </row>
    <row r="9" spans="1:18" s="488" customFormat="1" ht="24" customHeight="1">
      <c r="A9" s="1021" t="s">
        <v>234</v>
      </c>
      <c r="B9" s="1024" t="s">
        <v>296</v>
      </c>
      <c r="C9" s="1025"/>
      <c r="D9" s="1025"/>
      <c r="E9" s="1025"/>
      <c r="F9" s="1025"/>
      <c r="G9" s="1025"/>
      <c r="H9" s="1026"/>
      <c r="I9" s="1024" t="s">
        <v>297</v>
      </c>
      <c r="J9" s="1025"/>
      <c r="K9" s="1025"/>
      <c r="L9" s="1026"/>
      <c r="M9" s="1027" t="s">
        <v>298</v>
      </c>
      <c r="N9" s="1027"/>
      <c r="O9" s="1027"/>
      <c r="P9" s="550"/>
    </row>
    <row r="10" spans="1:18" s="488" customFormat="1" ht="24" customHeight="1">
      <c r="A10" s="1022"/>
      <c r="B10" s="1024" t="s">
        <v>299</v>
      </c>
      <c r="C10" s="1026"/>
      <c r="D10" s="1021" t="s">
        <v>300</v>
      </c>
      <c r="E10" s="1021" t="s">
        <v>301</v>
      </c>
      <c r="F10" s="1021" t="s">
        <v>302</v>
      </c>
      <c r="G10" s="1021" t="s">
        <v>303</v>
      </c>
      <c r="H10" s="1021" t="s">
        <v>304</v>
      </c>
      <c r="I10" s="1024" t="s">
        <v>305</v>
      </c>
      <c r="J10" s="1026"/>
      <c r="K10" s="1028" t="s">
        <v>306</v>
      </c>
      <c r="L10" s="1021" t="s">
        <v>307</v>
      </c>
      <c r="M10" s="1027" t="s">
        <v>299</v>
      </c>
      <c r="N10" s="1027"/>
      <c r="O10" s="1027" t="s">
        <v>308</v>
      </c>
      <c r="P10" s="550"/>
    </row>
    <row r="11" spans="1:18" s="488" customFormat="1" ht="55.5" customHeight="1">
      <c r="A11" s="1023"/>
      <c r="B11" s="489" t="s">
        <v>309</v>
      </c>
      <c r="C11" s="489" t="s">
        <v>235</v>
      </c>
      <c r="D11" s="1023"/>
      <c r="E11" s="1023"/>
      <c r="F11" s="1023"/>
      <c r="G11" s="1023"/>
      <c r="H11" s="1023"/>
      <c r="I11" s="489" t="s">
        <v>310</v>
      </c>
      <c r="J11" s="489" t="s">
        <v>311</v>
      </c>
      <c r="K11" s="1029"/>
      <c r="L11" s="1023"/>
      <c r="M11" s="489" t="s">
        <v>15</v>
      </c>
      <c r="N11" s="489" t="s">
        <v>235</v>
      </c>
      <c r="O11" s="1027"/>
      <c r="P11" s="550"/>
    </row>
    <row r="12" spans="1:18" s="492" customFormat="1" ht="13.5">
      <c r="A12" s="490" t="s">
        <v>2</v>
      </c>
      <c r="B12" s="490" t="s">
        <v>3</v>
      </c>
      <c r="C12" s="490" t="s">
        <v>4</v>
      </c>
      <c r="D12" s="490" t="s">
        <v>5</v>
      </c>
      <c r="E12" s="490" t="s">
        <v>6</v>
      </c>
      <c r="F12" s="490" t="s">
        <v>131</v>
      </c>
      <c r="G12" s="490" t="s">
        <v>312</v>
      </c>
      <c r="H12" s="490">
        <v>1</v>
      </c>
      <c r="I12" s="490">
        <v>2</v>
      </c>
      <c r="J12" s="490">
        <v>3</v>
      </c>
      <c r="K12" s="491"/>
      <c r="L12" s="490">
        <v>4</v>
      </c>
      <c r="M12" s="490" t="s">
        <v>313</v>
      </c>
      <c r="N12" s="490" t="s">
        <v>314</v>
      </c>
      <c r="O12" s="490" t="s">
        <v>315</v>
      </c>
      <c r="P12" s="551"/>
    </row>
    <row r="13" spans="1:18" s="492" customFormat="1" ht="21.75" customHeight="1">
      <c r="A13" s="512" t="s">
        <v>313</v>
      </c>
      <c r="B13" s="514" t="s">
        <v>336</v>
      </c>
      <c r="C13" s="512"/>
      <c r="D13" s="512"/>
      <c r="E13" s="512"/>
      <c r="F13" s="512"/>
      <c r="G13" s="552"/>
      <c r="H13" s="519"/>
      <c r="I13" s="519"/>
      <c r="J13" s="519"/>
      <c r="K13" s="519"/>
      <c r="L13" s="8"/>
      <c r="M13" s="512"/>
      <c r="N13" s="512"/>
      <c r="O13" s="178"/>
      <c r="P13" s="551" t="str">
        <f>IF(D13='THE-TS'!$D$11,"x","")</f>
        <v/>
      </c>
    </row>
    <row r="14" spans="1:18" ht="21.75" customHeight="1">
      <c r="A14" s="513">
        <v>1</v>
      </c>
      <c r="B14" s="523" t="s">
        <v>416</v>
      </c>
      <c r="C14" s="493">
        <v>40682</v>
      </c>
      <c r="D14" s="200" t="s">
        <v>378</v>
      </c>
      <c r="E14" s="439" t="s">
        <v>316</v>
      </c>
      <c r="F14" s="522" t="s">
        <v>457</v>
      </c>
      <c r="G14" s="552" t="s">
        <v>418</v>
      </c>
      <c r="H14" s="250">
        <v>18000000</v>
      </c>
      <c r="I14" s="250">
        <v>5</v>
      </c>
      <c r="J14" s="8">
        <v>2100000</v>
      </c>
      <c r="K14" s="8"/>
      <c r="L14" s="8">
        <f t="shared" ref="L14:L16" si="0">K14+J14</f>
        <v>2100000</v>
      </c>
      <c r="M14" s="509"/>
      <c r="N14" s="439"/>
      <c r="O14" s="178"/>
      <c r="P14" s="551" t="str">
        <f>IF(D14='THE-TS'!$D$11,"x","")</f>
        <v>x</v>
      </c>
      <c r="Q14" s="284"/>
      <c r="R14" s="284"/>
    </row>
    <row r="15" spans="1:18" ht="21.75" customHeight="1">
      <c r="A15" s="513">
        <v>2</v>
      </c>
      <c r="B15" s="522" t="s">
        <v>417</v>
      </c>
      <c r="C15" s="493">
        <v>40686</v>
      </c>
      <c r="D15" s="200" t="s">
        <v>379</v>
      </c>
      <c r="E15" s="439" t="s">
        <v>316</v>
      </c>
      <c r="F15" s="522" t="s">
        <v>457</v>
      </c>
      <c r="G15" s="552" t="s">
        <v>419</v>
      </c>
      <c r="H15" s="250">
        <v>27000000</v>
      </c>
      <c r="I15" s="250">
        <v>5</v>
      </c>
      <c r="J15" s="8">
        <v>3150000</v>
      </c>
      <c r="K15" s="8"/>
      <c r="L15" s="8">
        <f t="shared" si="0"/>
        <v>3150000</v>
      </c>
      <c r="M15" s="509"/>
      <c r="N15" s="439"/>
      <c r="O15" s="178"/>
      <c r="P15" s="551" t="str">
        <f>IF(D15='THE-TS'!$D$11,"x","")</f>
        <v/>
      </c>
      <c r="Q15" s="284"/>
      <c r="R15" s="284"/>
    </row>
    <row r="16" spans="1:18" ht="21.75" customHeight="1">
      <c r="A16" s="513">
        <v>3</v>
      </c>
      <c r="B16" s="522" t="s">
        <v>348</v>
      </c>
      <c r="C16" s="493">
        <v>40710</v>
      </c>
      <c r="D16" s="200" t="s">
        <v>402</v>
      </c>
      <c r="E16" s="439" t="s">
        <v>316</v>
      </c>
      <c r="F16" s="522" t="s">
        <v>458</v>
      </c>
      <c r="G16" s="552" t="s">
        <v>420</v>
      </c>
      <c r="H16" s="250">
        <v>320000000</v>
      </c>
      <c r="I16" s="250">
        <v>5</v>
      </c>
      <c r="J16" s="8">
        <v>32000000</v>
      </c>
      <c r="K16" s="8"/>
      <c r="L16" s="8">
        <f t="shared" si="0"/>
        <v>32000000</v>
      </c>
      <c r="M16" s="509"/>
      <c r="N16" s="178"/>
      <c r="O16" s="178"/>
      <c r="P16" s="551" t="str">
        <f>IF(D16='THE-TS'!$D$11,"x","")</f>
        <v/>
      </c>
      <c r="Q16" s="284"/>
      <c r="R16" s="284"/>
    </row>
    <row r="17" spans="1:18" ht="21.75" customHeight="1">
      <c r="A17" s="494"/>
      <c r="B17" s="515"/>
      <c r="C17" s="516"/>
      <c r="D17" s="517"/>
      <c r="E17" s="495"/>
      <c r="F17" s="516"/>
      <c r="G17" s="515"/>
      <c r="H17" s="520"/>
      <c r="I17" s="520"/>
      <c r="J17" s="289"/>
      <c r="K17" s="289"/>
      <c r="L17" s="289"/>
      <c r="M17" s="495"/>
      <c r="N17" s="495"/>
      <c r="O17" s="495"/>
      <c r="P17" s="551" t="str">
        <f>IF(D17='THE-TS'!$D$11,"x","")</f>
        <v/>
      </c>
      <c r="R17" s="510"/>
    </row>
    <row r="18" spans="1:18" s="498" customFormat="1" ht="21.75" customHeight="1">
      <c r="A18" s="496"/>
      <c r="B18" s="497"/>
      <c r="C18" s="496"/>
      <c r="D18" s="496" t="s">
        <v>317</v>
      </c>
      <c r="E18" s="496" t="s">
        <v>19</v>
      </c>
      <c r="F18" s="496" t="s">
        <v>19</v>
      </c>
      <c r="G18" s="496" t="s">
        <v>19</v>
      </c>
      <c r="H18" s="521">
        <f>SUM(H13:H17)</f>
        <v>365000000</v>
      </c>
      <c r="I18" s="521"/>
      <c r="J18" s="521">
        <f>SUM(J13:J17)</f>
        <v>37250000</v>
      </c>
      <c r="K18" s="521">
        <f>SUM(K13:K17)</f>
        <v>0</v>
      </c>
      <c r="L18" s="521">
        <f>SUM(L13:L17)</f>
        <v>37250000</v>
      </c>
      <c r="M18" s="557" t="s">
        <v>19</v>
      </c>
      <c r="N18" s="557" t="s">
        <v>19</v>
      </c>
      <c r="O18" s="557" t="s">
        <v>19</v>
      </c>
      <c r="P18" s="551" t="str">
        <f>IF(D18='THE-TS'!$D$11,"x","")</f>
        <v/>
      </c>
    </row>
    <row r="19" spans="1:18" ht="6.75" customHeight="1">
      <c r="A19" s="442"/>
      <c r="B19" s="442"/>
      <c r="C19" s="499"/>
      <c r="D19" s="442"/>
      <c r="E19" s="499"/>
      <c r="F19" s="499"/>
      <c r="G19" s="499"/>
      <c r="H19" s="442"/>
      <c r="I19" s="442"/>
      <c r="J19" s="442"/>
      <c r="K19" s="500"/>
      <c r="L19" s="442"/>
      <c r="M19" s="442"/>
      <c r="N19" s="442"/>
      <c r="O19" s="442"/>
      <c r="P19" s="551" t="str">
        <f>IF(D19='THE-TS'!$D$11,"x","")</f>
        <v/>
      </c>
    </row>
    <row r="20" spans="1:18" ht="13.5" customHeight="1">
      <c r="A20" s="442"/>
      <c r="B20" s="442"/>
      <c r="C20" s="499"/>
      <c r="D20" s="442" t="s">
        <v>318</v>
      </c>
      <c r="E20" s="442"/>
      <c r="F20" s="499"/>
      <c r="G20" s="442"/>
      <c r="H20" s="484"/>
      <c r="I20" s="484"/>
      <c r="J20" s="558"/>
      <c r="L20" s="484"/>
      <c r="M20" s="442"/>
      <c r="N20" s="442"/>
      <c r="O20" s="442"/>
      <c r="P20" s="551" t="str">
        <f>IF(D20='THE-TS'!$D$11,"x","")</f>
        <v/>
      </c>
    </row>
    <row r="21" spans="1:18" ht="13.5" customHeight="1">
      <c r="A21" s="442"/>
      <c r="B21" s="442"/>
      <c r="C21" s="499"/>
      <c r="D21" s="442" t="s">
        <v>455</v>
      </c>
      <c r="E21" s="442"/>
      <c r="F21" s="499"/>
      <c r="G21" s="442"/>
      <c r="H21" s="510"/>
      <c r="I21" s="442"/>
      <c r="J21" s="518"/>
      <c r="K21" s="500"/>
      <c r="L21" s="442"/>
      <c r="M21" s="442"/>
      <c r="N21" s="442"/>
      <c r="O21" s="442"/>
      <c r="P21" s="551" t="str">
        <f>IF(D21='THE-TS'!$D$11,"x","")</f>
        <v/>
      </c>
    </row>
    <row r="22" spans="1:18" ht="13.5" customHeight="1">
      <c r="K22" s="501"/>
      <c r="L22" s="486" t="s">
        <v>454</v>
      </c>
      <c r="P22" s="551" t="str">
        <f>IF(D22='THE-TS'!$D$11,"x","")</f>
        <v/>
      </c>
    </row>
    <row r="23" spans="1:18" ht="13.5" customHeight="1">
      <c r="B23" s="483"/>
      <c r="D23" s="483" t="s">
        <v>11</v>
      </c>
      <c r="F23" s="483" t="s">
        <v>319</v>
      </c>
      <c r="I23" s="502"/>
      <c r="K23" s="499"/>
      <c r="L23" s="499" t="s">
        <v>109</v>
      </c>
      <c r="P23" s="551" t="str">
        <f>IF(D23='THE-TS'!$D$11,"x","")</f>
        <v/>
      </c>
    </row>
    <row r="24" spans="1:18" ht="13.5" customHeight="1">
      <c r="B24" s="483"/>
      <c r="D24" s="483"/>
      <c r="P24" s="551" t="str">
        <f>IF(D24='THE-TS'!$D$11,"x","")</f>
        <v/>
      </c>
    </row>
    <row r="25" spans="1:18" ht="13.5" customHeight="1">
      <c r="H25" s="503"/>
      <c r="J25" s="503"/>
      <c r="L25" s="503"/>
      <c r="P25" s="551" t="str">
        <f>IF(D25='THE-TS'!$D$11,"x","")</f>
        <v/>
      </c>
    </row>
    <row r="26" spans="1:18" ht="13.5" customHeight="1">
      <c r="H26" s="504"/>
      <c r="P26" s="551" t="str">
        <f>IF(D26='THE-TS'!$D$11,"x","")</f>
        <v/>
      </c>
    </row>
    <row r="27" spans="1:18" ht="13.5" customHeight="1">
      <c r="H27" s="504"/>
      <c r="J27" s="503"/>
      <c r="P27" s="551" t="str">
        <f>IF(D27='THE-TS'!$D$11,"x","")</f>
        <v/>
      </c>
    </row>
    <row r="28" spans="1:18" ht="13.5" customHeight="1">
      <c r="H28" s="504"/>
      <c r="P28" s="551" t="str">
        <f>IF(D28='THE-TS'!$D$11,"x","")</f>
        <v/>
      </c>
    </row>
    <row r="29" spans="1:18" ht="13.5" customHeight="1">
      <c r="H29" s="504"/>
      <c r="P29" s="551" t="str">
        <f>IF(D29='THE-TS'!$D$11,"x","")</f>
        <v/>
      </c>
    </row>
    <row r="30" spans="1:18" s="505" customFormat="1" ht="13.5" customHeight="1">
      <c r="C30" s="506"/>
      <c r="D30" s="506"/>
      <c r="F30" s="506"/>
      <c r="H30" s="507"/>
      <c r="K30" s="508"/>
      <c r="P30" s="551"/>
    </row>
    <row r="31" spans="1:18" ht="13.5">
      <c r="P31" s="551" t="str">
        <f>IF(D31='THE-TS'!$D$11,"x","")</f>
        <v/>
      </c>
    </row>
    <row r="32" spans="1:18" ht="13.5" customHeight="1">
      <c r="H32" s="504"/>
      <c r="P32" s="551" t="str">
        <f>IF(D32='THE-TS'!$D$11,"x","")</f>
        <v/>
      </c>
    </row>
    <row r="33" spans="16:16" ht="13.5">
      <c r="P33" s="551" t="str">
        <f>IF(D33='THE-TS'!$D$11,"x","")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25" customWidth="1"/>
    <col min="2" max="2" width="10.140625" style="525" customWidth="1"/>
    <col min="3" max="3" width="11.5703125" style="525" customWidth="1"/>
    <col min="4" max="4" width="28.7109375" style="525" customWidth="1"/>
    <col min="5" max="5" width="13.28515625" style="525" customWidth="1"/>
    <col min="6" max="6" width="9.140625" style="525"/>
    <col min="7" max="7" width="14" style="525" customWidth="1"/>
    <col min="8" max="8" width="14.7109375" style="525" customWidth="1"/>
    <col min="9" max="10" width="9.140625" style="525"/>
    <col min="11" max="11" width="13.85546875" style="525" customWidth="1"/>
    <col min="12" max="16384" width="9.140625" style="525"/>
  </cols>
  <sheetData>
    <row r="1" spans="1:11" hidden="1"/>
    <row r="2" spans="1:11">
      <c r="A2" s="609" t="str">
        <f>TH!A1</f>
        <v>Đơn vị: CÔNG TY TNHH MỘT THÀNH VIÊN KHỞI NGUYÊN AN</v>
      </c>
      <c r="B2" s="524"/>
      <c r="C2" s="524"/>
      <c r="D2" s="524"/>
      <c r="E2" s="485"/>
      <c r="F2" s="1031" t="s">
        <v>320</v>
      </c>
      <c r="G2" s="1031"/>
      <c r="H2" s="1031"/>
    </row>
    <row r="3" spans="1:11">
      <c r="A3" s="541" t="str">
        <f>TH!A2</f>
        <v>Địa chỉ: Thửa đất số 144, tờ bản đồ số 12TĐH.1, tổ 1, khu phố Đông Tác, Phường Tân Đông Hiệp, Thị Xã Dĩ An, Tỉnh Bình Dương, Việt Nam</v>
      </c>
      <c r="B3" s="524"/>
      <c r="C3" s="524"/>
      <c r="D3" s="524"/>
      <c r="E3" s="486"/>
      <c r="F3" s="1030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3" s="1030"/>
      <c r="H3" s="1030"/>
    </row>
    <row r="4" spans="1:11">
      <c r="A4" s="483"/>
      <c r="B4" s="483"/>
      <c r="C4" s="486"/>
      <c r="D4" s="486"/>
      <c r="E4" s="486"/>
      <c r="F4" s="1030"/>
      <c r="G4" s="1030"/>
      <c r="H4" s="1030"/>
    </row>
    <row r="5" spans="1:11">
      <c r="A5" s="483"/>
      <c r="B5" s="483"/>
      <c r="C5" s="486"/>
      <c r="D5" s="486"/>
      <c r="E5" s="486"/>
      <c r="F5" s="486"/>
      <c r="G5" s="486"/>
      <c r="H5" s="486"/>
    </row>
    <row r="6" spans="1:11" ht="23.25" customHeight="1" thickBot="1">
      <c r="A6" s="1036" t="s">
        <v>321</v>
      </c>
      <c r="B6" s="1036"/>
      <c r="C6" s="1036"/>
      <c r="D6" s="1036"/>
      <c r="E6" s="1036"/>
      <c r="F6" s="1036"/>
      <c r="G6" s="1036"/>
      <c r="H6" s="1036"/>
    </row>
    <row r="7" spans="1:11" ht="17.25" customHeight="1" thickBot="1">
      <c r="A7" s="1035" t="str">
        <f ca="1" xml:space="preserve"> IF(ROWS($1:1)&gt;COUNT(Dong3),"","Số: "&amp;OFFSET('SO-TS'!$G$1,SMALL(Dong3,ROWS($1:1)),))</f>
        <v>Số: SX01/11</v>
      </c>
      <c r="B7" s="1035"/>
      <c r="C7" s="1035"/>
      <c r="D7" s="1035"/>
      <c r="E7" s="1035"/>
      <c r="F7" s="1035"/>
      <c r="G7" s="1035"/>
      <c r="H7" s="1035"/>
      <c r="J7" s="542" t="s">
        <v>338</v>
      </c>
      <c r="K7" s="543" t="s">
        <v>344</v>
      </c>
    </row>
    <row r="8" spans="1:11" ht="17.25" customHeight="1">
      <c r="A8" s="103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37"/>
      <c r="C8" s="1037"/>
      <c r="D8" s="1037"/>
      <c r="E8" s="1037"/>
      <c r="F8" s="1037"/>
      <c r="G8" s="1037"/>
      <c r="H8" s="1037"/>
    </row>
    <row r="9" spans="1:11" ht="12" customHeight="1">
      <c r="A9" s="483"/>
      <c r="B9" s="483"/>
      <c r="C9" s="483"/>
      <c r="D9" s="483"/>
      <c r="E9" s="483"/>
      <c r="F9" s="483"/>
      <c r="G9" s="486"/>
      <c r="H9" s="486"/>
    </row>
    <row r="10" spans="1:11" ht="15" customHeight="1">
      <c r="A10" s="482" t="str">
        <f ca="1">"Căn cứ vào biên bản giao nhận TSCĐ "&amp;"  "&amp;A7&amp;"  "&amp;A8</f>
        <v>Căn cứ vào biên bản giao nhận TSCĐ   Số: SX01/11  Ngày   19   tháng   5  năm   2011</v>
      </c>
      <c r="B10" s="482"/>
      <c r="C10" s="482"/>
      <c r="D10" s="482"/>
      <c r="E10" s="482"/>
      <c r="F10" s="482"/>
      <c r="G10" s="482"/>
      <c r="H10" s="482"/>
    </row>
    <row r="11" spans="1:11" ht="15" customHeight="1">
      <c r="A11" s="482" t="s">
        <v>339</v>
      </c>
      <c r="B11" s="482"/>
      <c r="C11" s="482"/>
      <c r="D11" s="482" t="s">
        <v>378</v>
      </c>
      <c r="E11" s="482" t="str">
        <f ca="1" xml:space="preserve"> IF(ROWS($1:1)&gt;COUNT(Dong3),"","Số hiệu TSCĐ:   "&amp;OFFSET('SO-TS'!$G$1,SMALL(Dong3,ROWS($1:1)),))</f>
        <v>Số hiệu TSCĐ:   SX01/11</v>
      </c>
      <c r="F11" s="482"/>
      <c r="H11" s="482"/>
    </row>
    <row r="12" spans="1:11" ht="15" customHeight="1">
      <c r="A12" s="482" t="str">
        <f ca="1" xml:space="preserve"> IF(ROWS($1:1)&gt;COUNT(Dong3),"","Nước sản xuất:   "&amp;OFFSET('SO-TS'!$E$1,SMALL(Dong3,ROWS($1:1)),))</f>
        <v>Nước sản xuất:   Việt Nam</v>
      </c>
      <c r="B12" s="482"/>
      <c r="C12" s="482"/>
      <c r="D12" s="482"/>
      <c r="E12" s="482" t="s">
        <v>340</v>
      </c>
      <c r="F12" s="482"/>
      <c r="G12" s="482"/>
      <c r="H12" s="482"/>
    </row>
    <row r="13" spans="1:11" ht="15" customHeight="1">
      <c r="A13" s="48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2"/>
      <c r="C13" s="482"/>
      <c r="D13" s="482"/>
      <c r="E13" s="482" t="str">
        <f ca="1" xml:space="preserve"> IF(ROWS($1:1)&gt;COUNT(Dong3),"","Tháng, năm đưa vào sử dụng:    "&amp;OFFSET('SO-TS'!$F$1,SMALL(Dong3,ROWS($1:1)),))</f>
        <v>Tháng, năm đưa vào sử dụng:    06/2011</v>
      </c>
      <c r="F13" s="482"/>
      <c r="G13" s="482"/>
      <c r="H13" s="482"/>
    </row>
    <row r="14" spans="1:11" ht="15" customHeight="1">
      <c r="A14" s="482" t="s">
        <v>322</v>
      </c>
      <c r="B14" s="482"/>
      <c r="C14" s="482"/>
      <c r="D14" s="482"/>
      <c r="E14" s="482"/>
      <c r="F14" s="482"/>
      <c r="G14" s="482"/>
      <c r="H14" s="482"/>
    </row>
    <row r="15" spans="1:11" ht="15" customHeight="1">
      <c r="A15" s="482" t="s">
        <v>342</v>
      </c>
      <c r="B15" s="482"/>
      <c r="C15" s="482"/>
      <c r="D15" s="482"/>
      <c r="E15" s="482"/>
      <c r="F15" s="482"/>
      <c r="G15" s="482"/>
      <c r="H15" s="482"/>
    </row>
    <row r="16" spans="1:11" ht="15" customHeight="1">
      <c r="A16" s="544" t="s">
        <v>341</v>
      </c>
      <c r="B16" s="544"/>
      <c r="C16" s="544"/>
      <c r="D16" s="544"/>
      <c r="E16" s="544"/>
      <c r="F16" s="544"/>
      <c r="G16" s="544"/>
      <c r="H16" s="544"/>
    </row>
    <row r="17" spans="1:8" s="538" customFormat="1" ht="18" customHeight="1">
      <c r="A17" s="1040" t="s">
        <v>125</v>
      </c>
      <c r="B17" s="1041"/>
      <c r="C17" s="1044" t="s">
        <v>323</v>
      </c>
      <c r="D17" s="1045"/>
      <c r="E17" s="1046"/>
      <c r="F17" s="1047" t="s">
        <v>324</v>
      </c>
      <c r="G17" s="1048"/>
      <c r="H17" s="1049"/>
    </row>
    <row r="18" spans="1:8" s="538" customFormat="1" ht="28.5" customHeight="1">
      <c r="A18" s="1042"/>
      <c r="B18" s="1043"/>
      <c r="C18" s="511" t="s">
        <v>325</v>
      </c>
      <c r="D18" s="511" t="s">
        <v>0</v>
      </c>
      <c r="E18" s="511" t="s">
        <v>326</v>
      </c>
      <c r="F18" s="511" t="s">
        <v>327</v>
      </c>
      <c r="G18" s="511" t="s">
        <v>328</v>
      </c>
      <c r="H18" s="511" t="s">
        <v>329</v>
      </c>
    </row>
    <row r="19" spans="1:8" s="540" customFormat="1">
      <c r="A19" s="1050" t="s">
        <v>2</v>
      </c>
      <c r="B19" s="1051"/>
      <c r="C19" s="539" t="s">
        <v>3</v>
      </c>
      <c r="D19" s="539" t="s">
        <v>4</v>
      </c>
      <c r="E19" s="539">
        <v>1</v>
      </c>
      <c r="F19" s="539">
        <v>2</v>
      </c>
      <c r="G19" s="539">
        <v>3</v>
      </c>
      <c r="H19" s="539">
        <v>4</v>
      </c>
    </row>
    <row r="20" spans="1:8" ht="17.25" customHeight="1">
      <c r="A20" s="459">
        <f ca="1">IF(B20&lt;&gt;"",ROW()-19,"")</f>
        <v>1</v>
      </c>
      <c r="B20" s="526" t="str">
        <f ca="1" xml:space="preserve"> IF(ROWS($1:1)&gt;COUNT(Dong3),"",OFFSET('SO-TS'!G$1,SMALL(Dong3,ROWS($1:1)),))</f>
        <v>SX01/11</v>
      </c>
      <c r="C20" s="526" t="str">
        <f ca="1" xml:space="preserve"> IF(ROWS($1:1)&gt;COUNT(Dong3),"",OFFSET('SO-TS'!F$1,SMALL(Dong3,ROWS($1:1)),))</f>
        <v>06/2011</v>
      </c>
      <c r="D20" s="553" t="str">
        <f ca="1" xml:space="preserve"> IF(ROWS($1:1)&gt;COUNT(Dong3),"",OFFSET('SO-TS'!D$1,SMALL(Dong3,ROWS($1:1)),))</f>
        <v>Máy chap khe khổ 2m</v>
      </c>
      <c r="E20" s="554">
        <f ca="1" xml:space="preserve"> IF(ROWS($1:1)&gt;COUNT(Dong3),"",OFFSET('SO-TS'!H$1,SMALL(Dong3,ROWS($1:1)),))</f>
        <v>18000000</v>
      </c>
      <c r="F20" s="555" t="str">
        <f ca="1" xml:space="preserve"> IF(ROWS($1:1)&gt;COUNT(Dong3),"",RIGHT(OFFSET('SO-TS'!F$1,SMALL(Dong3,ROWS($1:1)),),4))</f>
        <v>2011</v>
      </c>
      <c r="G20" s="53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3">
        <f ca="1">G20</f>
        <v>2100000</v>
      </c>
    </row>
    <row r="21" spans="1:8" ht="17.25" customHeight="1">
      <c r="A21" s="459" t="str">
        <f t="shared" ref="A21" si="0">IF(B21&lt;&gt;"",ROW()-19,"")</f>
        <v/>
      </c>
      <c r="B21" s="494"/>
      <c r="C21" s="527"/>
      <c r="D21" s="527"/>
      <c r="E21" s="556"/>
      <c r="F21" s="555"/>
      <c r="G21" s="556"/>
      <c r="H21" s="556"/>
    </row>
    <row r="22" spans="1:8" ht="17.25" customHeight="1">
      <c r="A22" s="496"/>
      <c r="B22" s="496" t="s">
        <v>330</v>
      </c>
      <c r="C22" s="528"/>
      <c r="D22" s="528"/>
      <c r="E22" s="557">
        <f ca="1">SUM(E20:E21)</f>
        <v>18000000</v>
      </c>
      <c r="F22" s="528"/>
      <c r="G22" s="557">
        <f ca="1">SUM(G20:G21)</f>
        <v>2100000</v>
      </c>
      <c r="H22" s="557"/>
    </row>
    <row r="23" spans="1:8" ht="17.25" customHeight="1">
      <c r="A23" s="529"/>
      <c r="B23" s="529"/>
      <c r="C23" s="530"/>
      <c r="D23" s="530"/>
      <c r="E23" s="530"/>
      <c r="F23" s="530"/>
      <c r="G23" s="531"/>
      <c r="H23" s="531"/>
    </row>
    <row r="24" spans="1:8" ht="17.25" customHeight="1">
      <c r="A24" s="529"/>
      <c r="B24" s="529"/>
      <c r="C24" s="530"/>
      <c r="D24" s="530"/>
      <c r="E24" s="530"/>
      <c r="F24" s="530"/>
      <c r="G24" s="531"/>
      <c r="H24" s="531"/>
    </row>
    <row r="25" spans="1:8" ht="17.25" customHeight="1">
      <c r="A25" s="1052" t="s">
        <v>331</v>
      </c>
      <c r="B25" s="1052"/>
      <c r="C25" s="1052"/>
      <c r="D25" s="1052"/>
      <c r="E25" s="1052"/>
      <c r="F25" s="1052"/>
      <c r="G25" s="1052"/>
      <c r="H25" s="1052"/>
    </row>
    <row r="26" spans="1:8" ht="27" customHeight="1">
      <c r="A26" s="496" t="s">
        <v>35</v>
      </c>
      <c r="B26" s="1024" t="s">
        <v>332</v>
      </c>
      <c r="C26" s="1026"/>
      <c r="D26" s="528" t="s">
        <v>197</v>
      </c>
      <c r="E26" s="528" t="s">
        <v>333</v>
      </c>
      <c r="F26" s="528" t="s">
        <v>334</v>
      </c>
      <c r="G26" s="531"/>
      <c r="H26" s="531"/>
    </row>
    <row r="27" spans="1:8" ht="17.25" customHeight="1">
      <c r="A27" s="496" t="s">
        <v>2</v>
      </c>
      <c r="B27" s="496" t="s">
        <v>3</v>
      </c>
      <c r="C27" s="528"/>
      <c r="D27" s="528" t="s">
        <v>4</v>
      </c>
      <c r="E27" s="528">
        <v>1</v>
      </c>
      <c r="F27" s="528">
        <v>2</v>
      </c>
      <c r="G27" s="531"/>
      <c r="H27" s="531"/>
    </row>
    <row r="28" spans="1:8" ht="17.25" customHeight="1">
      <c r="A28" s="532"/>
      <c r="B28" s="532"/>
      <c r="C28" s="533"/>
      <c r="D28" s="533"/>
      <c r="E28" s="533"/>
      <c r="F28" s="533"/>
      <c r="G28" s="531"/>
      <c r="H28" s="531"/>
    </row>
    <row r="29" spans="1:8" ht="17.25" customHeight="1">
      <c r="A29" s="534"/>
      <c r="B29" s="534"/>
      <c r="C29" s="535"/>
      <c r="D29" s="535"/>
      <c r="E29" s="535"/>
      <c r="F29" s="535"/>
      <c r="G29" s="531"/>
      <c r="H29" s="531"/>
    </row>
    <row r="30" spans="1:8" ht="17.25" customHeight="1">
      <c r="A30" s="534"/>
      <c r="B30" s="534"/>
      <c r="C30" s="535"/>
      <c r="D30" s="535"/>
      <c r="E30" s="535"/>
      <c r="F30" s="535"/>
      <c r="G30" s="531"/>
      <c r="H30" s="531"/>
    </row>
    <row r="31" spans="1:8" ht="17.25" customHeight="1">
      <c r="A31" s="534"/>
      <c r="B31" s="534"/>
      <c r="C31" s="535"/>
      <c r="D31" s="535"/>
      <c r="E31" s="535"/>
      <c r="F31" s="535"/>
      <c r="G31" s="531"/>
      <c r="H31" s="531"/>
    </row>
    <row r="32" spans="1:8" ht="17.25" customHeight="1">
      <c r="A32" s="536"/>
      <c r="B32" s="536"/>
      <c r="C32" s="537"/>
      <c r="D32" s="537"/>
      <c r="E32" s="537"/>
      <c r="F32" s="537"/>
      <c r="G32" s="531"/>
      <c r="H32" s="531"/>
    </row>
    <row r="33" spans="1:8">
      <c r="A33" s="529"/>
      <c r="B33" s="529"/>
      <c r="C33" s="530"/>
      <c r="D33" s="530"/>
      <c r="E33" s="530"/>
      <c r="F33" s="530"/>
      <c r="G33" s="531"/>
      <c r="H33" s="531"/>
    </row>
    <row r="34" spans="1:8">
      <c r="A34" s="1053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53"/>
      <c r="C34" s="1053"/>
      <c r="D34" s="1053"/>
      <c r="E34" s="1053"/>
      <c r="F34" s="1053"/>
      <c r="G34" s="1053"/>
      <c r="H34" s="1053"/>
    </row>
    <row r="35" spans="1:8">
      <c r="A35" s="1053" t="str">
        <f ca="1" xml:space="preserve"> IF(ROWS($1:1)&gt;COUNT(Dong3),"","Lý do giảm:   "&amp;OFFSET('SO-TS'!$O$1,SMALL(Dong3,ROWS($1:1)),))</f>
        <v xml:space="preserve">Lý do giảm:   </v>
      </c>
      <c r="B35" s="1053"/>
      <c r="C35" s="1053"/>
      <c r="D35" s="1053"/>
      <c r="E35" s="1053"/>
      <c r="F35" s="1053"/>
      <c r="G35" s="1053"/>
      <c r="H35" s="1053"/>
    </row>
    <row r="36" spans="1:8">
      <c r="A36" s="506"/>
      <c r="B36" s="506"/>
      <c r="C36" s="501"/>
      <c r="D36" s="501"/>
      <c r="E36" s="1039" t="s">
        <v>421</v>
      </c>
      <c r="F36" s="1039"/>
      <c r="G36" s="1039"/>
      <c r="H36" s="1039"/>
    </row>
    <row r="37" spans="1:8">
      <c r="A37" s="1035" t="s">
        <v>335</v>
      </c>
      <c r="B37" s="1035"/>
      <c r="C37" s="1035" t="s">
        <v>12</v>
      </c>
      <c r="D37" s="1035"/>
      <c r="E37" s="1031" t="s">
        <v>109</v>
      </c>
      <c r="F37" s="1031"/>
      <c r="G37" s="1031"/>
      <c r="H37" s="1031"/>
    </row>
    <row r="38" spans="1:8">
      <c r="A38" s="483"/>
      <c r="B38" s="483"/>
      <c r="C38" s="486"/>
      <c r="D38" s="486"/>
      <c r="E38" s="486"/>
      <c r="F38" s="486"/>
      <c r="G38" s="486"/>
      <c r="H38" s="486"/>
    </row>
    <row r="39" spans="1:8">
      <c r="A39" s="483"/>
      <c r="B39" s="483"/>
      <c r="C39" s="486"/>
      <c r="D39" s="486"/>
      <c r="E39" s="486"/>
      <c r="F39" s="486"/>
      <c r="G39" s="486"/>
      <c r="H39" s="486"/>
    </row>
    <row r="40" spans="1:8">
      <c r="A40" s="483"/>
      <c r="B40" s="483"/>
      <c r="C40" s="486"/>
      <c r="D40" s="486"/>
      <c r="E40" s="486"/>
      <c r="F40" s="486"/>
      <c r="G40" s="486"/>
      <c r="H40" s="486"/>
    </row>
    <row r="41" spans="1:8">
      <c r="A41" s="483"/>
      <c r="B41" s="483"/>
      <c r="C41" s="486"/>
      <c r="D41" s="486"/>
      <c r="E41" s="486"/>
      <c r="F41" s="486"/>
      <c r="G41" s="486"/>
      <c r="H41" s="486"/>
    </row>
    <row r="42" spans="1:8">
      <c r="A42" s="483"/>
      <c r="B42" s="483"/>
      <c r="C42" s="486"/>
      <c r="D42" s="486"/>
      <c r="E42" s="486"/>
      <c r="F42" s="486"/>
      <c r="G42" s="486"/>
      <c r="H42" s="486"/>
    </row>
    <row r="43" spans="1:8">
      <c r="A43" s="483"/>
      <c r="B43" s="483"/>
      <c r="C43" s="486"/>
      <c r="D43" s="486"/>
      <c r="E43" s="486"/>
      <c r="F43" s="486"/>
      <c r="G43" s="486"/>
      <c r="H43" s="486"/>
    </row>
    <row r="44" spans="1:8">
      <c r="A44" s="483"/>
      <c r="B44" s="483"/>
      <c r="C44" s="486"/>
      <c r="D44" s="486"/>
      <c r="E44" s="486"/>
      <c r="F44" s="486"/>
      <c r="G44" s="486"/>
      <c r="H44" s="486"/>
    </row>
    <row r="45" spans="1:8">
      <c r="A45" s="1038" t="s">
        <v>151</v>
      </c>
      <c r="B45" s="1038"/>
      <c r="C45" s="501"/>
      <c r="D45" s="501"/>
      <c r="E45" s="1039" t="s">
        <v>103</v>
      </c>
      <c r="F45" s="1039"/>
      <c r="G45" s="1039"/>
      <c r="H45" s="1039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43.42578125" style="689" customWidth="1"/>
    <col min="5" max="5" width="7.140625" style="689" customWidth="1"/>
    <col min="6" max="6" width="14.140625" style="689" customWidth="1"/>
    <col min="7" max="7" width="14.85546875" style="689" customWidth="1"/>
    <col min="8" max="9" width="12" style="689" customWidth="1"/>
    <col min="10" max="10" width="12.85546875" style="689" customWidth="1"/>
    <col min="11" max="12" width="13.5703125" style="689" customWidth="1"/>
    <col min="13" max="13" width="12.7109375" style="689" customWidth="1"/>
    <col min="14" max="14" width="6.28515625" style="689" customWidth="1"/>
    <col min="15" max="15" width="8.42578125" style="689" customWidth="1"/>
    <col min="16" max="16384" width="9.140625" style="689"/>
  </cols>
  <sheetData>
    <row r="2" spans="1:16">
      <c r="A2" s="688" t="str">
        <f>'IN-NX'!A2</f>
        <v>Đơn vị: CÔNG TY TNHH MỘT THÀNH VIÊN KHỞI NGUYÊN AN</v>
      </c>
      <c r="F2" s="690"/>
      <c r="G2" s="690"/>
      <c r="H2" s="690"/>
      <c r="I2" s="690"/>
      <c r="J2" s="1058" t="s">
        <v>459</v>
      </c>
      <c r="K2" s="1058"/>
      <c r="L2" s="1058"/>
      <c r="M2" s="1058"/>
    </row>
    <row r="3" spans="1:16" ht="15" customHeight="1">
      <c r="A3" s="718" t="str">
        <f>'IN-NX'!A3</f>
        <v>Địa chỉ: Thửa đất số 144, tờ bản đồ số 12TĐH.1, tổ 1, khu phố Đông Tác, Phường Tân Đông Hiệp, Thị Xã Dĩ An, Tỉnh Bình Dương, Việt Nam</v>
      </c>
      <c r="J3" s="1061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061"/>
      <c r="L3" s="1061"/>
      <c r="M3" s="1061"/>
    </row>
    <row r="4" spans="1:16">
      <c r="J4" s="1061"/>
      <c r="K4" s="1061"/>
      <c r="L4" s="1061"/>
      <c r="M4" s="1061"/>
    </row>
    <row r="5" spans="1:16" ht="19.5" customHeight="1">
      <c r="A5" s="1059" t="s">
        <v>460</v>
      </c>
      <c r="B5" s="1059"/>
      <c r="C5" s="1059"/>
      <c r="D5" s="1059"/>
      <c r="E5" s="1059"/>
      <c r="F5" s="1059"/>
      <c r="G5" s="1059"/>
      <c r="H5" s="1059"/>
      <c r="I5" s="1059"/>
      <c r="J5" s="1059"/>
      <c r="K5" s="1059"/>
      <c r="L5" s="1059"/>
      <c r="M5" s="1059"/>
      <c r="N5" s="691" t="s">
        <v>167</v>
      </c>
      <c r="O5" s="618">
        <f>IF(O13="Quý I",1,IF(O13="Quý II",4,IF(O13="Quý III",7,IF(O13="Quý IV",10,""))))</f>
        <v>4</v>
      </c>
      <c r="P5" s="618">
        <f>IF(O13="Quý I",3,IF(O13="Quý II",6,IF(O13="Quý III",9,IF(O13="Quý IV",12,""))))</f>
        <v>6</v>
      </c>
    </row>
    <row r="6" spans="1:16">
      <c r="A6" s="1060" t="s">
        <v>461</v>
      </c>
      <c r="B6" s="1060"/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M6" s="1060"/>
      <c r="N6" s="716"/>
    </row>
    <row r="7" spans="1:16">
      <c r="B7" s="692"/>
      <c r="C7" s="692"/>
      <c r="D7" s="692"/>
      <c r="E7" s="693" t="s">
        <v>462</v>
      </c>
      <c r="G7" s="692"/>
      <c r="H7" s="692"/>
      <c r="I7" s="692"/>
      <c r="J7" s="692"/>
      <c r="K7" s="692"/>
      <c r="L7" s="692"/>
      <c r="M7" s="692"/>
    </row>
    <row r="8" spans="1:16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  <c r="M8" s="692"/>
    </row>
    <row r="9" spans="1:16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  <c r="M9" s="694"/>
    </row>
    <row r="10" spans="1:16">
      <c r="C10" s="1057"/>
      <c r="D10" s="1057"/>
      <c r="E10" s="1057"/>
      <c r="F10" s="1057"/>
      <c r="G10" s="1057"/>
      <c r="H10" s="1057"/>
      <c r="I10" s="1057"/>
      <c r="J10" s="1057"/>
      <c r="K10" s="1057"/>
      <c r="L10" s="1057"/>
      <c r="M10" s="1057"/>
    </row>
    <row r="11" spans="1:16" ht="15.75" customHeight="1">
      <c r="A11" s="1054" t="s">
        <v>20</v>
      </c>
      <c r="B11" s="1055" t="s">
        <v>1</v>
      </c>
      <c r="C11" s="1055"/>
      <c r="D11" s="1054" t="s">
        <v>0</v>
      </c>
      <c r="E11" s="1054" t="s">
        <v>219</v>
      </c>
      <c r="F11" s="1055" t="s">
        <v>465</v>
      </c>
      <c r="G11" s="1055"/>
      <c r="H11" s="1055"/>
      <c r="I11" s="1055"/>
      <c r="J11" s="1055"/>
      <c r="K11" s="1055"/>
      <c r="L11" s="1055"/>
      <c r="M11" s="1055"/>
    </row>
    <row r="12" spans="1:16" ht="15.75" customHeight="1" thickBot="1">
      <c r="A12" s="1054"/>
      <c r="B12" s="1056" t="s">
        <v>15</v>
      </c>
      <c r="C12" s="1056" t="s">
        <v>32</v>
      </c>
      <c r="D12" s="1054"/>
      <c r="E12" s="1054"/>
      <c r="F12" s="1056" t="s">
        <v>466</v>
      </c>
      <c r="G12" s="1056" t="s">
        <v>467</v>
      </c>
      <c r="H12" s="1056"/>
      <c r="I12" s="1056"/>
      <c r="J12" s="1056"/>
      <c r="K12" s="1056"/>
      <c r="L12" s="1056"/>
      <c r="M12" s="1056"/>
    </row>
    <row r="13" spans="1:16" ht="31.5" customHeight="1" thickBot="1">
      <c r="A13" s="1054"/>
      <c r="B13" s="1056"/>
      <c r="C13" s="1056"/>
      <c r="D13" s="1054"/>
      <c r="E13" s="1054"/>
      <c r="F13" s="1056"/>
      <c r="G13" s="695" t="s">
        <v>449</v>
      </c>
      <c r="H13" s="695" t="s">
        <v>450</v>
      </c>
      <c r="I13" s="695" t="s">
        <v>451</v>
      </c>
      <c r="J13" s="695" t="s">
        <v>468</v>
      </c>
      <c r="K13" s="695" t="s">
        <v>469</v>
      </c>
      <c r="L13" s="695" t="s">
        <v>445</v>
      </c>
      <c r="M13" s="695" t="s">
        <v>470</v>
      </c>
      <c r="O13" s="717" t="s">
        <v>367</v>
      </c>
    </row>
    <row r="14" spans="1:16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/>
      <c r="J14" s="696">
        <v>4</v>
      </c>
      <c r="K14" s="696">
        <v>5</v>
      </c>
      <c r="L14" s="696"/>
      <c r="M14" s="696">
        <v>6</v>
      </c>
    </row>
    <row r="15" spans="1:16" ht="22.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  <c r="M15" s="699"/>
    </row>
    <row r="16" spans="1:16" ht="22.5" customHeight="1">
      <c r="A16" s="700" t="str">
        <f ca="1">IF(ROWS($1:1)&gt;COUNT(Dong9),"",OFFSET(TH!C$1,SMALL(Dong9,ROWS($1:1)),))</f>
        <v/>
      </c>
      <c r="B16" s="700" t="str">
        <f ca="1">IF(ROWS($1:1)&gt;COUNT(Dong9),"",OFFSET(TH!D$1,SMALL(Dong9,ROWS($1:1)),))</f>
        <v/>
      </c>
      <c r="C16" s="700" t="str">
        <f ca="1">IF(ROWS($1:1)&gt;COUNT(Dong9),"",OFFSET(TH!E$1,SMALL(Dong9,ROWS($1:1)),))</f>
        <v/>
      </c>
      <c r="D16" s="701" t="str">
        <f ca="1">IF(ROWS($1:1)&gt;COUNT(Dong9),"",OFFSET(TH!F$1,SMALL(Dong9,ROWS($1:1)),))</f>
        <v/>
      </c>
      <c r="E16" s="700" t="str">
        <f ca="1">IF(ROWS($1:1)&gt;COUNT(Dong9),"",OFFSET(TH!M$1,SMALL(Dong9,ROWS($1:1)),))</f>
        <v/>
      </c>
      <c r="F16" s="702" t="str">
        <f ca="1">IF(ROWS($1:1)&gt;COUNT(Dong9),"",OFFSET(TH!K$1,SMALL(Dong9,ROWS($1:1)),))</f>
        <v/>
      </c>
      <c r="G16" s="702">
        <f ca="1">IF($E16="1521",$F16,0)</f>
        <v>0</v>
      </c>
      <c r="H16" s="702">
        <f ca="1">IF($E16="1522",$F16,0)</f>
        <v>0</v>
      </c>
      <c r="I16" s="702">
        <f ca="1">IF(LEFT(D16,6)="Mực in",F16,0)</f>
        <v>0</v>
      </c>
      <c r="J16" s="702">
        <f ca="1">IF(OR(LEFT($E16,3)="334",LEFT($E16,3)="338"),$F16,0)</f>
        <v>0</v>
      </c>
      <c r="K16" s="702">
        <f ca="1">IF(OR(LEFT($E16,3)="331",AND(LEFT($E16,3)="111",$D16="Tiền điện")),$F16,0)</f>
        <v>0</v>
      </c>
      <c r="L16" s="702">
        <f ca="1">IF($E16="142",$F16,0)</f>
        <v>0</v>
      </c>
      <c r="M16" s="702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0" t="str">
        <f ca="1">IF(ROWS($1:2)&gt;COUNT(Dong9),"",OFFSET(TH!C$1,SMALL(Dong9,ROWS($1:2)),))</f>
        <v/>
      </c>
      <c r="B17" s="700" t="str">
        <f ca="1">IF(ROWS($1:2)&gt;COUNT(Dong9),"",OFFSET(TH!D$1,SMALL(Dong9,ROWS($1:2)),))</f>
        <v/>
      </c>
      <c r="C17" s="700" t="str">
        <f ca="1">IF(ROWS($1:2)&gt;COUNT(Dong9),"",OFFSET(TH!E$1,SMALL(Dong9,ROWS($1:2)),))</f>
        <v/>
      </c>
      <c r="D17" s="701" t="str">
        <f ca="1">IF(ROWS($1:2)&gt;COUNT(Dong9),"",OFFSET(TH!F$1,SMALL(Dong9,ROWS($1:2)),))</f>
        <v/>
      </c>
      <c r="E17" s="700" t="str">
        <f ca="1">IF(ROWS($1:2)&gt;COUNT(Dong9),"",OFFSET(TH!M$1,SMALL(Dong9,ROWS($1:2)),))</f>
        <v/>
      </c>
      <c r="F17" s="702" t="str">
        <f ca="1">IF(ROWS($1:2)&gt;COUNT(Dong9),"",OFFSET(TH!K$1,SMALL(Dong9,ROWS($1:2)),))</f>
        <v/>
      </c>
      <c r="G17" s="702">
        <f t="shared" ref="G17:G33" ca="1" si="0">IF($E17="1521",$F17,0)</f>
        <v>0</v>
      </c>
      <c r="H17" s="702">
        <f t="shared" ref="H17:H33" ca="1" si="1">IF($E17="1522",$F17,0)</f>
        <v>0</v>
      </c>
      <c r="I17" s="702">
        <f t="shared" ref="I17:I33" ca="1" si="2">IF(LEFT(D17,6)="Mực in",F17,0)</f>
        <v>0</v>
      </c>
      <c r="J17" s="702">
        <f t="shared" ref="J17:J33" ca="1" si="3">IF(OR(LEFT($E17,3)="334",LEFT($E17,3)="338"),$F17,0)</f>
        <v>0</v>
      </c>
      <c r="K17" s="702">
        <f t="shared" ref="K17:K33" ca="1" si="4">IF(OR(LEFT($E17,3)="331",AND(LEFT($E17,3)="111",$D17="Tiền điện")),$F17,0)</f>
        <v>0</v>
      </c>
      <c r="L17" s="702">
        <f t="shared" ref="L17:L33" ca="1" si="5">IF($E17="142",$F17,0)</f>
        <v>0</v>
      </c>
      <c r="M17" s="702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0" t="str">
        <f ca="1">IF(ROWS($1:3)&gt;COUNT(Dong9),"",OFFSET(TH!C$1,SMALL(Dong9,ROWS($1:3)),))</f>
        <v/>
      </c>
      <c r="B18" s="700" t="str">
        <f ca="1">IF(ROWS($1:3)&gt;COUNT(Dong9),"",OFFSET(TH!D$1,SMALL(Dong9,ROWS($1:3)),))</f>
        <v/>
      </c>
      <c r="C18" s="700" t="str">
        <f ca="1">IF(ROWS($1:3)&gt;COUNT(Dong9),"",OFFSET(TH!E$1,SMALL(Dong9,ROWS($1:3)),))</f>
        <v/>
      </c>
      <c r="D18" s="701" t="str">
        <f ca="1">IF(ROWS($1:3)&gt;COUNT(Dong9),"",OFFSET(TH!F$1,SMALL(Dong9,ROWS($1:3)),))</f>
        <v/>
      </c>
      <c r="E18" s="700" t="str">
        <f ca="1">IF(ROWS($1:3)&gt;COUNT(Dong9),"",OFFSET(TH!M$1,SMALL(Dong9,ROWS($1:3)),))</f>
        <v/>
      </c>
      <c r="F18" s="702" t="str">
        <f ca="1">IF(ROWS($1:3)&gt;COUNT(Dong9),"",OFFSET(TH!K$1,SMALL(Dong9,ROWS($1:3)),))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  <c r="K18" s="702">
        <f t="shared" ca="1" si="4"/>
        <v>0</v>
      </c>
      <c r="L18" s="702">
        <f t="shared" ca="1" si="5"/>
        <v>0</v>
      </c>
      <c r="M18" s="702">
        <f t="shared" ca="1" si="6"/>
        <v>0</v>
      </c>
    </row>
    <row r="19" spans="1:13" ht="22.5" customHeight="1">
      <c r="A19" s="700" t="str">
        <f ca="1">IF(ROWS($1:4)&gt;COUNT(Dong9),"",OFFSET(TH!C$1,SMALL(Dong9,ROWS($1:4)),))</f>
        <v/>
      </c>
      <c r="B19" s="700" t="str">
        <f ca="1">IF(ROWS($1:4)&gt;COUNT(Dong9),"",OFFSET(TH!D$1,SMALL(Dong9,ROWS($1:4)),))</f>
        <v/>
      </c>
      <c r="C19" s="700" t="str">
        <f ca="1">IF(ROWS($1:4)&gt;COUNT(Dong9),"",OFFSET(TH!E$1,SMALL(Dong9,ROWS($1:4)),))</f>
        <v/>
      </c>
      <c r="D19" s="701" t="str">
        <f ca="1">IF(ROWS($1:4)&gt;COUNT(Dong9),"",OFFSET(TH!F$1,SMALL(Dong9,ROWS($1:4)),))</f>
        <v/>
      </c>
      <c r="E19" s="700" t="str">
        <f ca="1">IF(ROWS($1:4)&gt;COUNT(Dong9),"",OFFSET(TH!M$1,SMALL(Dong9,ROWS($1:4)),))</f>
        <v/>
      </c>
      <c r="F19" s="702" t="str">
        <f ca="1">IF(ROWS($1:4)&gt;COUNT(Dong9),"",OFFSET(TH!K$1,SMALL(Dong9,ROWS($1:4)),))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  <c r="K19" s="702">
        <f t="shared" ca="1" si="4"/>
        <v>0</v>
      </c>
      <c r="L19" s="702">
        <f t="shared" ca="1" si="5"/>
        <v>0</v>
      </c>
      <c r="M19" s="702">
        <f t="shared" ca="1" si="6"/>
        <v>0</v>
      </c>
    </row>
    <row r="20" spans="1:13" ht="22.5" customHeight="1">
      <c r="A20" s="700" t="str">
        <f ca="1">IF(ROWS($1:5)&gt;COUNT(Dong9),"",OFFSET(TH!C$1,SMALL(Dong9,ROWS($1:5)),))</f>
        <v/>
      </c>
      <c r="B20" s="700" t="str">
        <f ca="1">IF(ROWS($1:5)&gt;COUNT(Dong9),"",OFFSET(TH!D$1,SMALL(Dong9,ROWS($1:5)),))</f>
        <v/>
      </c>
      <c r="C20" s="700" t="str">
        <f ca="1">IF(ROWS($1:5)&gt;COUNT(Dong9),"",OFFSET(TH!E$1,SMALL(Dong9,ROWS($1:5)),))</f>
        <v/>
      </c>
      <c r="D20" s="701" t="str">
        <f ca="1">IF(ROWS($1:5)&gt;COUNT(Dong9),"",OFFSET(TH!F$1,SMALL(Dong9,ROWS($1:5)),))</f>
        <v/>
      </c>
      <c r="E20" s="700" t="str">
        <f ca="1">IF(ROWS($1:5)&gt;COUNT(Dong9),"",OFFSET(TH!M$1,SMALL(Dong9,ROWS($1:5)),))</f>
        <v/>
      </c>
      <c r="F20" s="702" t="str">
        <f ca="1">IF(ROWS($1:5)&gt;COUNT(Dong9),"",OFFSET(TH!K$1,SMALL(Dong9,ROWS($1:5)),))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  <c r="K20" s="702">
        <f t="shared" ca="1" si="4"/>
        <v>0</v>
      </c>
      <c r="L20" s="702">
        <f t="shared" ca="1" si="5"/>
        <v>0</v>
      </c>
      <c r="M20" s="702">
        <f t="shared" ca="1" si="6"/>
        <v>0</v>
      </c>
    </row>
    <row r="21" spans="1:13" ht="22.5" customHeight="1">
      <c r="A21" s="700" t="str">
        <f ca="1">IF(ROWS($1:6)&gt;COUNT(Dong9),"",OFFSET(TH!C$1,SMALL(Dong9,ROWS($1:6)),))</f>
        <v/>
      </c>
      <c r="B21" s="700" t="str">
        <f ca="1">IF(ROWS($1:6)&gt;COUNT(Dong9),"",OFFSET(TH!D$1,SMALL(Dong9,ROWS($1:6)),))</f>
        <v/>
      </c>
      <c r="C21" s="700" t="str">
        <f ca="1">IF(ROWS($1:6)&gt;COUNT(Dong9),"",OFFSET(TH!E$1,SMALL(Dong9,ROWS($1:6)),))</f>
        <v/>
      </c>
      <c r="D21" s="701" t="str">
        <f ca="1">IF(ROWS($1:6)&gt;COUNT(Dong9),"",OFFSET(TH!F$1,SMALL(Dong9,ROWS($1:6)),))</f>
        <v/>
      </c>
      <c r="E21" s="700" t="str">
        <f ca="1">IF(ROWS($1:6)&gt;COUNT(Dong9),"",OFFSET(TH!M$1,SMALL(Dong9,ROWS($1:6)),))</f>
        <v/>
      </c>
      <c r="F21" s="702" t="str">
        <f ca="1">IF(ROWS($1:6)&gt;COUNT(Dong9),"",OFFSET(TH!K$1,SMALL(Dong9,ROWS($1:6)),))</f>
        <v/>
      </c>
      <c r="G21" s="702">
        <f t="shared" ca="1" si="0"/>
        <v>0</v>
      </c>
      <c r="H21" s="702">
        <f t="shared" ca="1" si="1"/>
        <v>0</v>
      </c>
      <c r="I21" s="702">
        <f t="shared" ca="1" si="2"/>
        <v>0</v>
      </c>
      <c r="J21" s="702">
        <f t="shared" ca="1" si="3"/>
        <v>0</v>
      </c>
      <c r="K21" s="702">
        <f t="shared" ca="1" si="4"/>
        <v>0</v>
      </c>
      <c r="L21" s="702">
        <f t="shared" ca="1" si="5"/>
        <v>0</v>
      </c>
      <c r="M21" s="702">
        <f t="shared" ca="1" si="6"/>
        <v>0</v>
      </c>
    </row>
    <row r="22" spans="1:13" ht="22.5" customHeight="1">
      <c r="A22" s="700" t="str">
        <f ca="1">IF(ROWS($1:7)&gt;COUNT(Dong9),"",OFFSET(TH!C$1,SMALL(Dong9,ROWS($1:7)),))</f>
        <v/>
      </c>
      <c r="B22" s="700" t="str">
        <f ca="1">IF(ROWS($1:7)&gt;COUNT(Dong9),"",OFFSET(TH!D$1,SMALL(Dong9,ROWS($1:7)),))</f>
        <v/>
      </c>
      <c r="C22" s="700" t="str">
        <f ca="1">IF(ROWS($1:7)&gt;COUNT(Dong9),"",OFFSET(TH!E$1,SMALL(Dong9,ROWS($1:7)),))</f>
        <v/>
      </c>
      <c r="D22" s="701" t="str">
        <f ca="1">IF(ROWS($1:7)&gt;COUNT(Dong9),"",OFFSET(TH!F$1,SMALL(Dong9,ROWS($1:7)),))</f>
        <v/>
      </c>
      <c r="E22" s="700" t="str">
        <f ca="1">IF(ROWS($1:7)&gt;COUNT(Dong9),"",OFFSET(TH!M$1,SMALL(Dong9,ROWS($1:7)),))</f>
        <v/>
      </c>
      <c r="F22" s="702" t="str">
        <f ca="1">IF(ROWS($1:7)&gt;COUNT(Dong9),"",OFFSET(TH!K$1,SMALL(Dong9,ROWS($1:7)),))</f>
        <v/>
      </c>
      <c r="G22" s="702">
        <f t="shared" ca="1" si="0"/>
        <v>0</v>
      </c>
      <c r="H22" s="702">
        <f t="shared" ca="1" si="1"/>
        <v>0</v>
      </c>
      <c r="I22" s="702">
        <f t="shared" ca="1" si="2"/>
        <v>0</v>
      </c>
      <c r="J22" s="702">
        <f t="shared" ca="1" si="3"/>
        <v>0</v>
      </c>
      <c r="K22" s="702">
        <f t="shared" ca="1" si="4"/>
        <v>0</v>
      </c>
      <c r="L22" s="702">
        <f t="shared" ca="1" si="5"/>
        <v>0</v>
      </c>
      <c r="M22" s="702">
        <f t="shared" ca="1" si="6"/>
        <v>0</v>
      </c>
    </row>
    <row r="23" spans="1:13" ht="22.5" customHeight="1">
      <c r="A23" s="700" t="str">
        <f ca="1">IF(ROWS($1:8)&gt;COUNT(Dong9),"",OFFSET(TH!C$1,SMALL(Dong9,ROWS($1:8)),))</f>
        <v/>
      </c>
      <c r="B23" s="700" t="str">
        <f ca="1">IF(ROWS($1:8)&gt;COUNT(Dong9),"",OFFSET(TH!D$1,SMALL(Dong9,ROWS($1:8)),))</f>
        <v/>
      </c>
      <c r="C23" s="700" t="str">
        <f ca="1">IF(ROWS($1:8)&gt;COUNT(Dong9),"",OFFSET(TH!E$1,SMALL(Dong9,ROWS($1:8)),))</f>
        <v/>
      </c>
      <c r="D23" s="701" t="str">
        <f ca="1">IF(ROWS($1:8)&gt;COUNT(Dong9),"",OFFSET(TH!F$1,SMALL(Dong9,ROWS($1:8)),))</f>
        <v/>
      </c>
      <c r="E23" s="700" t="str">
        <f ca="1">IF(ROWS($1:8)&gt;COUNT(Dong9),"",OFFSET(TH!M$1,SMALL(Dong9,ROWS($1:8)),))</f>
        <v/>
      </c>
      <c r="F23" s="702" t="str">
        <f ca="1">IF(ROWS($1:8)&gt;COUNT(Dong9),"",OFFSET(TH!K$1,SMALL(Dong9,ROWS($1:8)),))</f>
        <v/>
      </c>
      <c r="G23" s="702">
        <f t="shared" ca="1" si="0"/>
        <v>0</v>
      </c>
      <c r="H23" s="702">
        <f t="shared" ca="1" si="1"/>
        <v>0</v>
      </c>
      <c r="I23" s="702">
        <f t="shared" ca="1" si="2"/>
        <v>0</v>
      </c>
      <c r="J23" s="702">
        <f t="shared" ca="1" si="3"/>
        <v>0</v>
      </c>
      <c r="K23" s="702">
        <f t="shared" ca="1" si="4"/>
        <v>0</v>
      </c>
      <c r="L23" s="702">
        <f t="shared" ca="1" si="5"/>
        <v>0</v>
      </c>
      <c r="M23" s="702">
        <f t="shared" ca="1" si="6"/>
        <v>0</v>
      </c>
    </row>
    <row r="24" spans="1:13" ht="22.5" customHeight="1">
      <c r="A24" s="700" t="str">
        <f ca="1">IF(ROWS($1:9)&gt;COUNT(Dong9),"",OFFSET(TH!C$1,SMALL(Dong9,ROWS($1:9)),))</f>
        <v/>
      </c>
      <c r="B24" s="700" t="str">
        <f ca="1">IF(ROWS($1:9)&gt;COUNT(Dong9),"",OFFSET(TH!D$1,SMALL(Dong9,ROWS($1:9)),))</f>
        <v/>
      </c>
      <c r="C24" s="700" t="str">
        <f ca="1">IF(ROWS($1:9)&gt;COUNT(Dong9),"",OFFSET(TH!E$1,SMALL(Dong9,ROWS($1:9)),))</f>
        <v/>
      </c>
      <c r="D24" s="701" t="str">
        <f ca="1">IF(ROWS($1:9)&gt;COUNT(Dong9),"",OFFSET(TH!F$1,SMALL(Dong9,ROWS($1:9)),))</f>
        <v/>
      </c>
      <c r="E24" s="700" t="str">
        <f ca="1">IF(ROWS($1:9)&gt;COUNT(Dong9),"",OFFSET(TH!M$1,SMALL(Dong9,ROWS($1:9)),))</f>
        <v/>
      </c>
      <c r="F24" s="702" t="str">
        <f ca="1">IF(ROWS($1:9)&gt;COUNT(Dong9),"",OFFSET(TH!K$1,SMALL(Dong9,ROWS($1:9)),))</f>
        <v/>
      </c>
      <c r="G24" s="702">
        <f t="shared" ca="1" si="0"/>
        <v>0</v>
      </c>
      <c r="H24" s="702">
        <f t="shared" ca="1" si="1"/>
        <v>0</v>
      </c>
      <c r="I24" s="702">
        <f t="shared" ca="1" si="2"/>
        <v>0</v>
      </c>
      <c r="J24" s="702">
        <f t="shared" ca="1" si="3"/>
        <v>0</v>
      </c>
      <c r="K24" s="702">
        <f t="shared" ca="1" si="4"/>
        <v>0</v>
      </c>
      <c r="L24" s="702">
        <f t="shared" ca="1" si="5"/>
        <v>0</v>
      </c>
      <c r="M24" s="702">
        <f t="shared" ca="1" si="6"/>
        <v>0</v>
      </c>
    </row>
    <row r="25" spans="1:13" ht="22.5" customHeight="1">
      <c r="A25" s="700" t="str">
        <f ca="1">IF(ROWS($1:10)&gt;COUNT(Dong9),"",OFFSET(TH!C$1,SMALL(Dong9,ROWS($1:10)),))</f>
        <v/>
      </c>
      <c r="B25" s="700" t="str">
        <f ca="1">IF(ROWS($1:10)&gt;COUNT(Dong9),"",OFFSET(TH!D$1,SMALL(Dong9,ROWS($1:10)),))</f>
        <v/>
      </c>
      <c r="C25" s="700" t="str">
        <f ca="1">IF(ROWS($1:10)&gt;COUNT(Dong9),"",OFFSET(TH!E$1,SMALL(Dong9,ROWS($1:10)),))</f>
        <v/>
      </c>
      <c r="D25" s="701" t="str">
        <f ca="1">IF(ROWS($1:10)&gt;COUNT(Dong9),"",OFFSET(TH!F$1,SMALL(Dong9,ROWS($1:10)),))</f>
        <v/>
      </c>
      <c r="E25" s="700" t="str">
        <f ca="1">IF(ROWS($1:10)&gt;COUNT(Dong9),"",OFFSET(TH!M$1,SMALL(Dong9,ROWS($1:10)),))</f>
        <v/>
      </c>
      <c r="F25" s="702" t="str">
        <f ca="1">IF(ROWS($1:10)&gt;COUNT(Dong9),"",OFFSET(TH!K$1,SMALL(Dong9,ROWS($1:10)),))</f>
        <v/>
      </c>
      <c r="G25" s="702">
        <f t="shared" ca="1" si="0"/>
        <v>0</v>
      </c>
      <c r="H25" s="702">
        <f t="shared" ca="1" si="1"/>
        <v>0</v>
      </c>
      <c r="I25" s="702">
        <f t="shared" ca="1" si="2"/>
        <v>0</v>
      </c>
      <c r="J25" s="702">
        <f t="shared" ca="1" si="3"/>
        <v>0</v>
      </c>
      <c r="K25" s="702">
        <f t="shared" ca="1" si="4"/>
        <v>0</v>
      </c>
      <c r="L25" s="702">
        <f t="shared" ca="1" si="5"/>
        <v>0</v>
      </c>
      <c r="M25" s="702">
        <f t="shared" ca="1" si="6"/>
        <v>0</v>
      </c>
    </row>
    <row r="26" spans="1:13" ht="22.5" customHeight="1">
      <c r="A26" s="700" t="str">
        <f ca="1">IF(ROWS($1:11)&gt;COUNT(Dong9),"",OFFSET(TH!C$1,SMALL(Dong9,ROWS($1:11)),))</f>
        <v/>
      </c>
      <c r="B26" s="700" t="str">
        <f ca="1">IF(ROWS($1:11)&gt;COUNT(Dong9),"",OFFSET(TH!D$1,SMALL(Dong9,ROWS($1:11)),))</f>
        <v/>
      </c>
      <c r="C26" s="700" t="str">
        <f ca="1">IF(ROWS($1:11)&gt;COUNT(Dong9),"",OFFSET(TH!E$1,SMALL(Dong9,ROWS($1:11)),))</f>
        <v/>
      </c>
      <c r="D26" s="701" t="str">
        <f ca="1">IF(ROWS($1:11)&gt;COUNT(Dong9),"",OFFSET(TH!F$1,SMALL(Dong9,ROWS($1:11)),))</f>
        <v/>
      </c>
      <c r="E26" s="700" t="str">
        <f ca="1">IF(ROWS($1:11)&gt;COUNT(Dong9),"",OFFSET(TH!M$1,SMALL(Dong9,ROWS($1:11)),))</f>
        <v/>
      </c>
      <c r="F26" s="702" t="str">
        <f ca="1">IF(ROWS($1:11)&gt;COUNT(Dong9),"",OFFSET(TH!K$1,SMALL(Dong9,ROWS($1:11)),))</f>
        <v/>
      </c>
      <c r="G26" s="702">
        <f t="shared" ca="1" si="0"/>
        <v>0</v>
      </c>
      <c r="H26" s="702">
        <f t="shared" ca="1" si="1"/>
        <v>0</v>
      </c>
      <c r="I26" s="702">
        <f t="shared" ca="1" si="2"/>
        <v>0</v>
      </c>
      <c r="J26" s="702">
        <f t="shared" ca="1" si="3"/>
        <v>0</v>
      </c>
      <c r="K26" s="702">
        <f t="shared" ca="1" si="4"/>
        <v>0</v>
      </c>
      <c r="L26" s="702">
        <f t="shared" ca="1" si="5"/>
        <v>0</v>
      </c>
      <c r="M26" s="702">
        <f t="shared" ca="1" si="6"/>
        <v>0</v>
      </c>
    </row>
    <row r="27" spans="1:13" ht="22.5" customHeight="1">
      <c r="A27" s="700" t="str">
        <f ca="1">IF(ROWS($1:12)&gt;COUNT(Dong9),"",OFFSET(TH!C$1,SMALL(Dong9,ROWS($1:12)),))</f>
        <v/>
      </c>
      <c r="B27" s="700" t="str">
        <f ca="1">IF(ROWS($1:12)&gt;COUNT(Dong9),"",OFFSET(TH!D$1,SMALL(Dong9,ROWS($1:12)),))</f>
        <v/>
      </c>
      <c r="C27" s="700" t="str">
        <f ca="1">IF(ROWS($1:12)&gt;COUNT(Dong9),"",OFFSET(TH!E$1,SMALL(Dong9,ROWS($1:12)),))</f>
        <v/>
      </c>
      <c r="D27" s="701" t="str">
        <f ca="1">IF(ROWS($1:12)&gt;COUNT(Dong9),"",OFFSET(TH!F$1,SMALL(Dong9,ROWS($1:12)),))</f>
        <v/>
      </c>
      <c r="E27" s="700" t="str">
        <f ca="1">IF(ROWS($1:12)&gt;COUNT(Dong9),"",OFFSET(TH!M$1,SMALL(Dong9,ROWS($1:12)),))</f>
        <v/>
      </c>
      <c r="F27" s="702" t="str">
        <f ca="1">IF(ROWS($1:12)&gt;COUNT(Dong9),"",OFFSET(TH!K$1,SMALL(Dong9,ROWS($1:12)),))</f>
        <v/>
      </c>
      <c r="G27" s="702">
        <f t="shared" ca="1" si="0"/>
        <v>0</v>
      </c>
      <c r="H27" s="702">
        <f t="shared" ca="1" si="1"/>
        <v>0</v>
      </c>
      <c r="I27" s="702">
        <f t="shared" ca="1" si="2"/>
        <v>0</v>
      </c>
      <c r="J27" s="702">
        <f t="shared" ca="1" si="3"/>
        <v>0</v>
      </c>
      <c r="K27" s="702">
        <f t="shared" ca="1" si="4"/>
        <v>0</v>
      </c>
      <c r="L27" s="702">
        <f t="shared" ca="1" si="5"/>
        <v>0</v>
      </c>
      <c r="M27" s="702">
        <f t="shared" ca="1" si="6"/>
        <v>0</v>
      </c>
    </row>
    <row r="28" spans="1:13" ht="22.5" customHeight="1">
      <c r="A28" s="700" t="str">
        <f ca="1">IF(ROWS($1:13)&gt;COUNT(Dong9),"",OFFSET(TH!C$1,SMALL(Dong9,ROWS($1:13)),))</f>
        <v/>
      </c>
      <c r="B28" s="700" t="str">
        <f ca="1">IF(ROWS($1:13)&gt;COUNT(Dong9),"",OFFSET(TH!D$1,SMALL(Dong9,ROWS($1:13)),))</f>
        <v/>
      </c>
      <c r="C28" s="700" t="str">
        <f ca="1">IF(ROWS($1:13)&gt;COUNT(Dong9),"",OFFSET(TH!E$1,SMALL(Dong9,ROWS($1:13)),))</f>
        <v/>
      </c>
      <c r="D28" s="701" t="str">
        <f ca="1">IF(ROWS($1:13)&gt;COUNT(Dong9),"",OFFSET(TH!F$1,SMALL(Dong9,ROWS($1:13)),))</f>
        <v/>
      </c>
      <c r="E28" s="700" t="str">
        <f ca="1">IF(ROWS($1:13)&gt;COUNT(Dong9),"",OFFSET(TH!M$1,SMALL(Dong9,ROWS($1:13)),))</f>
        <v/>
      </c>
      <c r="F28" s="702" t="str">
        <f ca="1">IF(ROWS($1:13)&gt;COUNT(Dong9),"",OFFSET(TH!K$1,SMALL(Dong9,ROWS($1:13)),))</f>
        <v/>
      </c>
      <c r="G28" s="702">
        <f t="shared" ca="1" si="0"/>
        <v>0</v>
      </c>
      <c r="H28" s="702">
        <f t="shared" ca="1" si="1"/>
        <v>0</v>
      </c>
      <c r="I28" s="702">
        <f t="shared" ca="1" si="2"/>
        <v>0</v>
      </c>
      <c r="J28" s="702">
        <f t="shared" ca="1" si="3"/>
        <v>0</v>
      </c>
      <c r="K28" s="702">
        <f t="shared" ca="1" si="4"/>
        <v>0</v>
      </c>
      <c r="L28" s="702">
        <f t="shared" ca="1" si="5"/>
        <v>0</v>
      </c>
      <c r="M28" s="702">
        <f t="shared" ca="1" si="6"/>
        <v>0</v>
      </c>
    </row>
    <row r="29" spans="1:13" ht="22.5" customHeight="1">
      <c r="A29" s="700" t="str">
        <f ca="1">IF(ROWS($1:14)&gt;COUNT(Dong9),"",OFFSET(TH!C$1,SMALL(Dong9,ROWS($1:14)),))</f>
        <v/>
      </c>
      <c r="B29" s="700" t="str">
        <f ca="1">IF(ROWS($1:14)&gt;COUNT(Dong9),"",OFFSET(TH!D$1,SMALL(Dong9,ROWS($1:14)),))</f>
        <v/>
      </c>
      <c r="C29" s="700" t="str">
        <f ca="1">IF(ROWS($1:14)&gt;COUNT(Dong9),"",OFFSET(TH!E$1,SMALL(Dong9,ROWS($1:14)),))</f>
        <v/>
      </c>
      <c r="D29" s="701" t="str">
        <f ca="1">IF(ROWS($1:14)&gt;COUNT(Dong9),"",OFFSET(TH!F$1,SMALL(Dong9,ROWS($1:14)),))</f>
        <v/>
      </c>
      <c r="E29" s="700" t="str">
        <f ca="1">IF(ROWS($1:14)&gt;COUNT(Dong9),"",OFFSET(TH!M$1,SMALL(Dong9,ROWS($1:14)),))</f>
        <v/>
      </c>
      <c r="F29" s="702" t="str">
        <f ca="1">IF(ROWS($1:14)&gt;COUNT(Dong9),"",OFFSET(TH!K$1,SMALL(Dong9,ROWS($1:14)),))</f>
        <v/>
      </c>
      <c r="G29" s="702">
        <f t="shared" ca="1" si="0"/>
        <v>0</v>
      </c>
      <c r="H29" s="702">
        <f t="shared" ca="1" si="1"/>
        <v>0</v>
      </c>
      <c r="I29" s="702">
        <f t="shared" ca="1" si="2"/>
        <v>0</v>
      </c>
      <c r="J29" s="702">
        <f t="shared" ca="1" si="3"/>
        <v>0</v>
      </c>
      <c r="K29" s="702">
        <f t="shared" ca="1" si="4"/>
        <v>0</v>
      </c>
      <c r="L29" s="702">
        <f t="shared" ca="1" si="5"/>
        <v>0</v>
      </c>
      <c r="M29" s="702">
        <f t="shared" ca="1" si="6"/>
        <v>0</v>
      </c>
    </row>
    <row r="30" spans="1:13" ht="22.5" customHeight="1">
      <c r="A30" s="700" t="str">
        <f ca="1">IF(ROWS($1:15)&gt;COUNT(Dong9),"",OFFSET(TH!C$1,SMALL(Dong9,ROWS($1:15)),))</f>
        <v/>
      </c>
      <c r="B30" s="700" t="str">
        <f ca="1">IF(ROWS($1:15)&gt;COUNT(Dong9),"",OFFSET(TH!D$1,SMALL(Dong9,ROWS($1:15)),))</f>
        <v/>
      </c>
      <c r="C30" s="700" t="str">
        <f ca="1">IF(ROWS($1:15)&gt;COUNT(Dong9),"",OFFSET(TH!E$1,SMALL(Dong9,ROWS($1:15)),))</f>
        <v/>
      </c>
      <c r="D30" s="701" t="str">
        <f ca="1">IF(ROWS($1:15)&gt;COUNT(Dong9),"",OFFSET(TH!F$1,SMALL(Dong9,ROWS($1:15)),))</f>
        <v/>
      </c>
      <c r="E30" s="700" t="str">
        <f ca="1">IF(ROWS($1:15)&gt;COUNT(Dong9),"",OFFSET(TH!M$1,SMALL(Dong9,ROWS($1:15)),))</f>
        <v/>
      </c>
      <c r="F30" s="702" t="str">
        <f ca="1">IF(ROWS($1:15)&gt;COUNT(Dong9),"",OFFSET(TH!K$1,SMALL(Dong9,ROWS($1:15)),))</f>
        <v/>
      </c>
      <c r="G30" s="702">
        <f t="shared" ca="1" si="0"/>
        <v>0</v>
      </c>
      <c r="H30" s="702">
        <f t="shared" ca="1" si="1"/>
        <v>0</v>
      </c>
      <c r="I30" s="702">
        <f t="shared" ca="1" si="2"/>
        <v>0</v>
      </c>
      <c r="J30" s="702">
        <f t="shared" ca="1" si="3"/>
        <v>0</v>
      </c>
      <c r="K30" s="702">
        <f t="shared" ca="1" si="4"/>
        <v>0</v>
      </c>
      <c r="L30" s="702">
        <f t="shared" ca="1" si="5"/>
        <v>0</v>
      </c>
      <c r="M30" s="702">
        <f t="shared" ca="1" si="6"/>
        <v>0</v>
      </c>
    </row>
    <row r="31" spans="1:13" ht="22.5" customHeight="1">
      <c r="A31" s="700" t="str">
        <f ca="1">IF(ROWS($1:16)&gt;COUNT(Dong9),"",OFFSET(TH!C$1,SMALL(Dong9,ROWS($1:16)),))</f>
        <v/>
      </c>
      <c r="B31" s="700" t="str">
        <f ca="1">IF(ROWS($1:16)&gt;COUNT(Dong9),"",OFFSET(TH!D$1,SMALL(Dong9,ROWS($1:16)),))</f>
        <v/>
      </c>
      <c r="C31" s="700" t="str">
        <f ca="1">IF(ROWS($1:16)&gt;COUNT(Dong9),"",OFFSET(TH!E$1,SMALL(Dong9,ROWS($1:16)),))</f>
        <v/>
      </c>
      <c r="D31" s="701" t="str">
        <f ca="1">IF(ROWS($1:16)&gt;COUNT(Dong9),"",OFFSET(TH!F$1,SMALL(Dong9,ROWS($1:16)),))</f>
        <v/>
      </c>
      <c r="E31" s="700" t="str">
        <f ca="1">IF(ROWS($1:16)&gt;COUNT(Dong9),"",OFFSET(TH!M$1,SMALL(Dong9,ROWS($1:16)),))</f>
        <v/>
      </c>
      <c r="F31" s="702" t="str">
        <f ca="1">IF(ROWS($1:16)&gt;COUNT(Dong9),"",OFFSET(TH!K$1,SMALL(Dong9,ROWS($1:16)),))</f>
        <v/>
      </c>
      <c r="G31" s="702">
        <f t="shared" ca="1" si="0"/>
        <v>0</v>
      </c>
      <c r="H31" s="702">
        <f t="shared" ca="1" si="1"/>
        <v>0</v>
      </c>
      <c r="I31" s="702">
        <f t="shared" ca="1" si="2"/>
        <v>0</v>
      </c>
      <c r="J31" s="702">
        <f t="shared" ca="1" si="3"/>
        <v>0</v>
      </c>
      <c r="K31" s="702">
        <f t="shared" ca="1" si="4"/>
        <v>0</v>
      </c>
      <c r="L31" s="702">
        <f t="shared" ca="1" si="5"/>
        <v>0</v>
      </c>
      <c r="M31" s="702">
        <f t="shared" ca="1" si="6"/>
        <v>0</v>
      </c>
    </row>
    <row r="32" spans="1:13" ht="22.5" customHeight="1">
      <c r="A32" s="700" t="str">
        <f ca="1">IF(ROWS($1:17)&gt;COUNT(Dong9),"",OFFSET(TH!C$1,SMALL(Dong9,ROWS($1:17)),))</f>
        <v/>
      </c>
      <c r="B32" s="700" t="str">
        <f ca="1">IF(ROWS($1:17)&gt;COUNT(Dong9),"",OFFSET(TH!D$1,SMALL(Dong9,ROWS($1:17)),))</f>
        <v/>
      </c>
      <c r="C32" s="700" t="str">
        <f ca="1">IF(ROWS($1:17)&gt;COUNT(Dong9),"",OFFSET(TH!E$1,SMALL(Dong9,ROWS($1:17)),))</f>
        <v/>
      </c>
      <c r="D32" s="701" t="str">
        <f ca="1">IF(ROWS($1:17)&gt;COUNT(Dong9),"",OFFSET(TH!F$1,SMALL(Dong9,ROWS($1:17)),))</f>
        <v/>
      </c>
      <c r="E32" s="700" t="str">
        <f ca="1">IF(ROWS($1:17)&gt;COUNT(Dong9),"",OFFSET(TH!M$1,SMALL(Dong9,ROWS($1:17)),))</f>
        <v/>
      </c>
      <c r="F32" s="702" t="str">
        <f ca="1">IF(ROWS($1:17)&gt;COUNT(Dong9),"",OFFSET(TH!K$1,SMALL(Dong9,ROWS($1:17)),))</f>
        <v/>
      </c>
      <c r="G32" s="702">
        <f t="shared" ca="1" si="0"/>
        <v>0</v>
      </c>
      <c r="H32" s="702">
        <f t="shared" ca="1" si="1"/>
        <v>0</v>
      </c>
      <c r="I32" s="702">
        <f t="shared" ca="1" si="2"/>
        <v>0</v>
      </c>
      <c r="J32" s="702">
        <f t="shared" ca="1" si="3"/>
        <v>0</v>
      </c>
      <c r="K32" s="702">
        <f t="shared" ca="1" si="4"/>
        <v>0</v>
      </c>
      <c r="L32" s="702">
        <f t="shared" ca="1" si="5"/>
        <v>0</v>
      </c>
      <c r="M32" s="702">
        <f t="shared" ca="1" si="6"/>
        <v>0</v>
      </c>
    </row>
    <row r="33" spans="1:13" ht="22.5" customHeight="1">
      <c r="A33" s="700" t="str">
        <f ca="1">IF(ROWS($1:18)&gt;COUNT(Dong9),"",OFFSET(TH!C$1,SMALL(Dong9,ROWS($1:18)),))</f>
        <v/>
      </c>
      <c r="B33" s="700" t="str">
        <f ca="1">IF(ROWS($1:18)&gt;COUNT(Dong9),"",OFFSET(TH!D$1,SMALL(Dong9,ROWS($1:18)),))</f>
        <v/>
      </c>
      <c r="C33" s="700" t="str">
        <f ca="1">IF(ROWS($1:18)&gt;COUNT(Dong9),"",OFFSET(TH!E$1,SMALL(Dong9,ROWS($1:18)),))</f>
        <v/>
      </c>
      <c r="D33" s="701" t="str">
        <f ca="1">IF(ROWS($1:18)&gt;COUNT(Dong9),"",OFFSET(TH!F$1,SMALL(Dong9,ROWS($1:18)),))</f>
        <v/>
      </c>
      <c r="E33" s="700" t="str">
        <f ca="1">IF(ROWS($1:18)&gt;COUNT(Dong9),"",OFFSET(TH!M$1,SMALL(Dong9,ROWS($1:18)),))</f>
        <v/>
      </c>
      <c r="F33" s="702" t="str">
        <f ca="1">IF(ROWS($1:18)&gt;COUNT(Dong9),"",OFFSET(TH!K$1,SMALL(Dong9,ROWS($1:18)),))</f>
        <v/>
      </c>
      <c r="G33" s="702">
        <f t="shared" ca="1" si="0"/>
        <v>0</v>
      </c>
      <c r="H33" s="702">
        <f t="shared" ca="1" si="1"/>
        <v>0</v>
      </c>
      <c r="I33" s="702">
        <f t="shared" ca="1" si="2"/>
        <v>0</v>
      </c>
      <c r="J33" s="702">
        <f t="shared" ca="1" si="3"/>
        <v>0</v>
      </c>
      <c r="K33" s="702">
        <f t="shared" ca="1" si="4"/>
        <v>0</v>
      </c>
      <c r="L33" s="702">
        <f t="shared" ca="1" si="5"/>
        <v>0</v>
      </c>
      <c r="M33" s="702">
        <f t="shared" ca="1" si="6"/>
        <v>0</v>
      </c>
    </row>
    <row r="34" spans="1:13" ht="22.5" customHeight="1">
      <c r="A34" s="700"/>
      <c r="B34" s="703"/>
      <c r="C34" s="700"/>
      <c r="D34" s="704"/>
      <c r="E34" s="705"/>
      <c r="F34" s="706"/>
      <c r="G34" s="706"/>
      <c r="H34" s="706"/>
      <c r="I34" s="706"/>
      <c r="J34" s="706"/>
      <c r="K34" s="706"/>
      <c r="L34" s="706"/>
      <c r="M34" s="706"/>
    </row>
    <row r="35" spans="1:13" ht="22.5" customHeight="1">
      <c r="A35" s="700"/>
      <c r="B35" s="703"/>
      <c r="C35" s="700"/>
      <c r="D35" s="698" t="s">
        <v>133</v>
      </c>
      <c r="E35" s="697" t="s">
        <v>19</v>
      </c>
      <c r="F35" s="699">
        <f t="shared" ref="F35:M35" ca="1" si="7">SUM(F15:F34)</f>
        <v>0</v>
      </c>
      <c r="G35" s="699">
        <f t="shared" ca="1" si="7"/>
        <v>0</v>
      </c>
      <c r="H35" s="699">
        <f t="shared" ca="1" si="7"/>
        <v>0</v>
      </c>
      <c r="I35" s="699">
        <f t="shared" ca="1" si="7"/>
        <v>0</v>
      </c>
      <c r="J35" s="699">
        <f t="shared" ca="1" si="7"/>
        <v>0</v>
      </c>
      <c r="K35" s="699">
        <f t="shared" ca="1" si="7"/>
        <v>0</v>
      </c>
      <c r="L35" s="699">
        <f t="shared" ca="1" si="7"/>
        <v>0</v>
      </c>
      <c r="M35" s="699">
        <f t="shared" ca="1" si="7"/>
        <v>0</v>
      </c>
    </row>
    <row r="36" spans="1:13" ht="22.5" customHeight="1">
      <c r="A36" s="707"/>
      <c r="B36" s="705"/>
      <c r="C36" s="707"/>
      <c r="D36" s="708" t="s">
        <v>471</v>
      </c>
      <c r="E36" s="703"/>
      <c r="F36" s="709">
        <f ca="1">SUM(G36:M36)</f>
        <v>0</v>
      </c>
      <c r="G36" s="709">
        <f t="shared" ref="G36:M36" ca="1" si="8">G35</f>
        <v>0</v>
      </c>
      <c r="H36" s="709">
        <f t="shared" ca="1" si="8"/>
        <v>0</v>
      </c>
      <c r="I36" s="709">
        <f t="shared" ref="I36" ca="1" si="9">I35</f>
        <v>0</v>
      </c>
      <c r="J36" s="709">
        <f t="shared" ca="1" si="8"/>
        <v>0</v>
      </c>
      <c r="K36" s="709">
        <f t="shared" ca="1" si="8"/>
        <v>0</v>
      </c>
      <c r="L36" s="709">
        <f t="shared" ref="L36" ca="1" si="10">L35</f>
        <v>0</v>
      </c>
      <c r="M36" s="709">
        <f t="shared" ca="1" si="8"/>
        <v>0</v>
      </c>
    </row>
    <row r="37" spans="1:13" ht="22.5" customHeight="1">
      <c r="A37" s="710"/>
      <c r="B37" s="710"/>
      <c r="C37" s="710"/>
      <c r="D37" s="711" t="s">
        <v>10</v>
      </c>
      <c r="E37" s="710" t="s">
        <v>19</v>
      </c>
      <c r="F37" s="712">
        <f t="shared" ref="F37:M37" ca="1" si="11">F15+F35-F36</f>
        <v>0</v>
      </c>
      <c r="G37" s="712">
        <f t="shared" ca="1" si="11"/>
        <v>0</v>
      </c>
      <c r="H37" s="712">
        <f t="shared" ca="1" si="11"/>
        <v>0</v>
      </c>
      <c r="I37" s="712">
        <f t="shared" ca="1" si="11"/>
        <v>0</v>
      </c>
      <c r="J37" s="712">
        <f t="shared" ca="1" si="11"/>
        <v>0</v>
      </c>
      <c r="K37" s="712">
        <f t="shared" ca="1" si="11"/>
        <v>0</v>
      </c>
      <c r="L37" s="712">
        <f t="shared" ca="1" si="11"/>
        <v>0</v>
      </c>
      <c r="M37" s="712">
        <f t="shared" ca="1" si="11"/>
        <v>0</v>
      </c>
    </row>
    <row r="39" spans="1:13">
      <c r="B39" s="713"/>
      <c r="C39" s="693" t="s">
        <v>472</v>
      </c>
    </row>
    <row r="40" spans="1:13">
      <c r="C40" s="693" t="e">
        <f ca="1">"Ngày mở sổ: "&amp;"01/"&amp;MONTH(A16)&amp;"/ "&amp;YEAR(A16)</f>
        <v>#VALUE!</v>
      </c>
    </row>
    <row r="41" spans="1:13">
      <c r="E41" s="692"/>
      <c r="F41" s="692"/>
      <c r="G41" s="692"/>
      <c r="H41" s="692"/>
      <c r="I41" s="692"/>
      <c r="J41" s="1013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013"/>
      <c r="L41" s="1013"/>
      <c r="M41" s="1013"/>
    </row>
    <row r="42" spans="1:13">
      <c r="B42" s="692"/>
      <c r="C42" s="689" t="s">
        <v>11</v>
      </c>
      <c r="D42" s="692"/>
      <c r="E42" s="692"/>
      <c r="F42" s="692"/>
      <c r="G42" s="692"/>
      <c r="H42" s="692"/>
      <c r="I42" s="692"/>
      <c r="J42" s="1013" t="s">
        <v>12</v>
      </c>
      <c r="K42" s="1013"/>
      <c r="L42" s="1013"/>
      <c r="M42" s="1013"/>
    </row>
    <row r="43" spans="1:13">
      <c r="B43" s="692"/>
      <c r="C43" s="689" t="s">
        <v>13</v>
      </c>
      <c r="D43" s="692"/>
      <c r="E43" s="692"/>
      <c r="F43" s="692"/>
      <c r="G43" s="692"/>
      <c r="H43" s="692"/>
      <c r="I43" s="692"/>
      <c r="J43" s="692"/>
      <c r="K43" s="692" t="s">
        <v>13</v>
      </c>
      <c r="L43" s="692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31.85546875" style="689" customWidth="1"/>
    <col min="5" max="5" width="10.28515625" style="689" customWidth="1"/>
    <col min="6" max="6" width="15.28515625" style="689" customWidth="1"/>
    <col min="7" max="7" width="9.42578125" style="689" customWidth="1"/>
    <col min="8" max="8" width="15.140625" style="689" customWidth="1"/>
    <col min="9" max="9" width="9.140625" style="689"/>
    <col min="10" max="10" width="16.28515625" style="689" customWidth="1"/>
    <col min="11" max="11" width="6" style="689" customWidth="1"/>
    <col min="12" max="16384" width="9.140625" style="689"/>
  </cols>
  <sheetData>
    <row r="2" spans="1:13">
      <c r="A2" s="688" t="str">
        <f>'154'!A2</f>
        <v>Đơn vị: CÔNG TY TNHH MỘT THÀNH VIÊN KHỞI NGUYÊN AN</v>
      </c>
      <c r="F2" s="690"/>
      <c r="G2" s="1058" t="s">
        <v>459</v>
      </c>
      <c r="H2" s="1058"/>
      <c r="I2" s="1058"/>
      <c r="J2" s="1058"/>
    </row>
    <row r="3" spans="1:13" ht="15" customHeight="1">
      <c r="A3" s="718" t="str">
        <f>'154'!A3</f>
        <v>Địa chỉ: Thửa đất số 144, tờ bản đồ số 12TĐH.1, tổ 1, khu phố Đông Tác, Phường Tân Đông Hiệp, Thị Xã Dĩ An, Tỉnh Bình Dương, Việt Nam</v>
      </c>
      <c r="G3" s="1061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061"/>
      <c r="I3" s="1061"/>
      <c r="J3" s="1061"/>
    </row>
    <row r="4" spans="1:13">
      <c r="G4" s="1061"/>
      <c r="H4" s="1061"/>
      <c r="I4" s="1061"/>
      <c r="J4" s="1061"/>
    </row>
    <row r="5" spans="1:13" ht="27" customHeight="1">
      <c r="A5" s="1059" t="s">
        <v>460</v>
      </c>
      <c r="B5" s="1059"/>
      <c r="C5" s="1059"/>
      <c r="D5" s="1059"/>
      <c r="E5" s="1059"/>
      <c r="F5" s="1059"/>
      <c r="G5" s="1059"/>
      <c r="H5" s="1059"/>
      <c r="I5" s="1059"/>
      <c r="J5" s="1059"/>
      <c r="K5" s="691" t="s">
        <v>177</v>
      </c>
      <c r="L5" s="618">
        <f>IF(L13="Quý I",1,IF(L13="Quý II",4,IF(L13="Quý III",7,IF(L13="Quý IV",10,""))))</f>
        <v>4</v>
      </c>
      <c r="M5" s="618">
        <f>IF(L13="Quý I",3,IF(L13="Quý II",6,IF(L13="Quý III",9,IF(L13="Quý IV",12,""))))</f>
        <v>6</v>
      </c>
    </row>
    <row r="6" spans="1:13">
      <c r="A6" s="1060" t="s">
        <v>461</v>
      </c>
      <c r="B6" s="1060"/>
      <c r="C6" s="1060"/>
      <c r="D6" s="1060"/>
      <c r="E6" s="1060"/>
      <c r="F6" s="1060"/>
      <c r="G6" s="1060"/>
      <c r="H6" s="1060"/>
      <c r="I6" s="1060"/>
      <c r="J6" s="1060"/>
    </row>
    <row r="7" spans="1:13">
      <c r="B7" s="692"/>
      <c r="C7" s="692"/>
      <c r="D7" s="692"/>
      <c r="E7" s="693" t="s">
        <v>473</v>
      </c>
      <c r="G7" s="692"/>
      <c r="H7" s="692"/>
      <c r="I7" s="692"/>
      <c r="J7" s="692"/>
    </row>
    <row r="8" spans="1:13">
      <c r="B8" s="692"/>
      <c r="C8" s="692"/>
      <c r="D8" s="692"/>
      <c r="E8" s="693" t="s">
        <v>463</v>
      </c>
      <c r="G8" s="692"/>
      <c r="H8" s="692"/>
      <c r="I8" s="692"/>
      <c r="J8" s="692"/>
    </row>
    <row r="9" spans="1:13">
      <c r="B9" s="694"/>
      <c r="C9" s="694"/>
      <c r="D9" s="694"/>
      <c r="E9" s="693" t="s">
        <v>464</v>
      </c>
      <c r="G9" s="694"/>
      <c r="H9" s="694"/>
      <c r="I9" s="694"/>
      <c r="J9" s="694"/>
    </row>
    <row r="10" spans="1:13" ht="9.75" customHeight="1">
      <c r="C10" s="1057"/>
      <c r="D10" s="1057"/>
      <c r="E10" s="1057"/>
      <c r="F10" s="1057"/>
      <c r="G10" s="1057"/>
      <c r="H10" s="1057"/>
      <c r="I10" s="1057"/>
      <c r="J10" s="1057"/>
    </row>
    <row r="11" spans="1:13" ht="15.75" customHeight="1">
      <c r="A11" s="1054" t="s">
        <v>20</v>
      </c>
      <c r="B11" s="1055" t="s">
        <v>1</v>
      </c>
      <c r="C11" s="1055"/>
      <c r="D11" s="1054" t="s">
        <v>0</v>
      </c>
      <c r="E11" s="1054" t="s">
        <v>219</v>
      </c>
      <c r="F11" s="1055" t="s">
        <v>474</v>
      </c>
      <c r="G11" s="1055"/>
      <c r="H11" s="1055"/>
      <c r="I11" s="1055"/>
      <c r="J11" s="1055"/>
    </row>
    <row r="12" spans="1:13" ht="15.75" customHeight="1" thickBot="1">
      <c r="A12" s="1054"/>
      <c r="B12" s="1056" t="s">
        <v>15</v>
      </c>
      <c r="C12" s="1056" t="s">
        <v>32</v>
      </c>
      <c r="D12" s="1054"/>
      <c r="E12" s="1054"/>
      <c r="F12" s="1056" t="s">
        <v>466</v>
      </c>
      <c r="G12" s="1056" t="s">
        <v>467</v>
      </c>
      <c r="H12" s="1056"/>
      <c r="I12" s="1056"/>
      <c r="J12" s="1056"/>
    </row>
    <row r="13" spans="1:13" ht="30.75" customHeight="1" thickBot="1">
      <c r="A13" s="1054"/>
      <c r="B13" s="1056"/>
      <c r="C13" s="1056"/>
      <c r="D13" s="1054"/>
      <c r="E13" s="1054"/>
      <c r="F13" s="1056"/>
      <c r="G13" s="695">
        <v>154</v>
      </c>
      <c r="H13" s="695">
        <v>155</v>
      </c>
      <c r="I13" s="695">
        <v>156</v>
      </c>
      <c r="J13" s="695">
        <v>157</v>
      </c>
      <c r="L13" s="717" t="s">
        <v>367</v>
      </c>
    </row>
    <row r="14" spans="1:13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</row>
    <row r="15" spans="1:13" ht="20.2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</row>
    <row r="16" spans="1:13" ht="20.25" customHeight="1">
      <c r="A16" s="700" t="str">
        <f ca="1">IF(ROWS($1:1)&gt;COUNT(Dong8),"",OFFSET(TH!C$1,SMALL(Dong8,ROWS($1:1)),))</f>
        <v/>
      </c>
      <c r="B16" s="700" t="str">
        <f ca="1">IF(ROWS($1:1)&gt;COUNT(Dong8),"",OFFSET(TH!D$1,SMALL(Dong8,ROWS($1:1)),))</f>
        <v/>
      </c>
      <c r="C16" s="700" t="str">
        <f ca="1">IF(ROWS($1:1)&gt;COUNT(Dong8),"",OFFSET(TH!E$1,SMALL(Dong8,ROWS($1:1)),))</f>
        <v/>
      </c>
      <c r="D16" s="701" t="str">
        <f ca="1">IF(ROWS($1:1)&gt;COUNT(Dong8),"",OFFSET(TH!F$1,SMALL(Dong8,ROWS($1:1)),))</f>
        <v/>
      </c>
      <c r="E16" s="700" t="str">
        <f ca="1">IF(ROWS($1:1)&gt;COUNT(Dong8),"",OFFSET(TH!M$1,SMALL(Dong8,ROWS($1:1)),))</f>
        <v/>
      </c>
      <c r="F16" s="702" t="str">
        <f ca="1">IF(ROWS($1:1)&gt;COUNT(Dong8),"",OFFSET(TH!K$1,SMALL(Dong8,ROWS($1:1)),))</f>
        <v/>
      </c>
      <c r="G16" s="702">
        <f ca="1">IF($E16="154",$F16,0)</f>
        <v>0</v>
      </c>
      <c r="H16" s="702">
        <f ca="1">IF($E16="155",$F16,0)</f>
        <v>0</v>
      </c>
      <c r="I16" s="702">
        <f ca="1">IF($E16="156",$F16,0)</f>
        <v>0</v>
      </c>
      <c r="J16" s="702">
        <f ca="1">IF($E16="157",$F16,0)</f>
        <v>0</v>
      </c>
    </row>
    <row r="17" spans="1:10" ht="20.25" customHeight="1">
      <c r="A17" s="700" t="str">
        <f ca="1">IF(ROWS($1:2)&gt;COUNT(Dong8),"",OFFSET(TH!C$1,SMALL(Dong8,ROWS($1:2)),))</f>
        <v/>
      </c>
      <c r="B17" s="700" t="str">
        <f ca="1">IF(ROWS($1:2)&gt;COUNT(Dong8),"",OFFSET(TH!D$1,SMALL(Dong8,ROWS($1:2)),))</f>
        <v/>
      </c>
      <c r="C17" s="700" t="str">
        <f ca="1">IF(ROWS($1:2)&gt;COUNT(Dong8),"",OFFSET(TH!E$1,SMALL(Dong8,ROWS($1:2)),))</f>
        <v/>
      </c>
      <c r="D17" s="701" t="str">
        <f ca="1">IF(ROWS($1:2)&gt;COUNT(Dong8),"",OFFSET(TH!F$1,SMALL(Dong8,ROWS($1:2)),))</f>
        <v/>
      </c>
      <c r="E17" s="700" t="str">
        <f ca="1">IF(ROWS($1:2)&gt;COUNT(Dong8),"",OFFSET(TH!M$1,SMALL(Dong8,ROWS($1:2)),))</f>
        <v/>
      </c>
      <c r="F17" s="702" t="str">
        <f ca="1">IF(ROWS($1:2)&gt;COUNT(Dong8),"",OFFSET(TH!K$1,SMALL(Dong8,ROWS($1:2)),))</f>
        <v/>
      </c>
      <c r="G17" s="702">
        <f t="shared" ref="G17:G20" ca="1" si="0">IF($E17="154",$F17,0)</f>
        <v>0</v>
      </c>
      <c r="H17" s="702">
        <f t="shared" ref="H17:H20" ca="1" si="1">IF($E17="155",$F17,0)</f>
        <v>0</v>
      </c>
      <c r="I17" s="702">
        <f t="shared" ref="I17:I20" ca="1" si="2">IF($E17="156",$F17,0)</f>
        <v>0</v>
      </c>
      <c r="J17" s="702">
        <f t="shared" ref="J17:J20" ca="1" si="3">IF($E17="157",$F17,0)</f>
        <v>0</v>
      </c>
    </row>
    <row r="18" spans="1:10" ht="20.25" customHeight="1">
      <c r="A18" s="700" t="str">
        <f ca="1">IF(ROWS($1:3)&gt;COUNT(Dong8),"",OFFSET(TH!C$1,SMALL(Dong8,ROWS($1:3)),))</f>
        <v/>
      </c>
      <c r="B18" s="700" t="str">
        <f ca="1">IF(ROWS($1:3)&gt;COUNT(Dong8),"",OFFSET(TH!D$1,SMALL(Dong8,ROWS($1:3)),))</f>
        <v/>
      </c>
      <c r="C18" s="700" t="str">
        <f ca="1">IF(ROWS($1:3)&gt;COUNT(Dong8),"",OFFSET(TH!E$1,SMALL(Dong8,ROWS($1:3)),))</f>
        <v/>
      </c>
      <c r="D18" s="701" t="str">
        <f ca="1">IF(ROWS($1:3)&gt;COUNT(Dong8),"",OFFSET(TH!F$1,SMALL(Dong8,ROWS($1:3)),))</f>
        <v/>
      </c>
      <c r="E18" s="700" t="str">
        <f ca="1">IF(ROWS($1:3)&gt;COUNT(Dong8),"",OFFSET(TH!M$1,SMALL(Dong8,ROWS($1:3)),))</f>
        <v/>
      </c>
      <c r="F18" s="702" t="str">
        <f ca="1">IF(ROWS($1:3)&gt;COUNT(Dong8),"",OFFSET(TH!K$1,SMALL(Dong8,ROWS($1:3)),))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</row>
    <row r="19" spans="1:10" ht="20.25" customHeight="1">
      <c r="A19" s="700" t="str">
        <f ca="1">IF(ROWS($1:4)&gt;COUNT(Dong8),"",OFFSET(TH!C$1,SMALL(Dong8,ROWS($1:4)),))</f>
        <v/>
      </c>
      <c r="B19" s="700" t="str">
        <f ca="1">IF(ROWS($1:4)&gt;COUNT(Dong8),"",OFFSET(TH!D$1,SMALL(Dong8,ROWS($1:4)),))</f>
        <v/>
      </c>
      <c r="C19" s="700" t="str">
        <f ca="1">IF(ROWS($1:4)&gt;COUNT(Dong8),"",OFFSET(TH!E$1,SMALL(Dong8,ROWS($1:4)),))</f>
        <v/>
      </c>
      <c r="D19" s="701" t="str">
        <f ca="1">IF(ROWS($1:4)&gt;COUNT(Dong8),"",OFFSET(TH!F$1,SMALL(Dong8,ROWS($1:4)),))</f>
        <v/>
      </c>
      <c r="E19" s="700" t="str">
        <f ca="1">IF(ROWS($1:4)&gt;COUNT(Dong8),"",OFFSET(TH!M$1,SMALL(Dong8,ROWS($1:4)),))</f>
        <v/>
      </c>
      <c r="F19" s="702" t="str">
        <f ca="1">IF(ROWS($1:4)&gt;COUNT(Dong8),"",OFFSET(TH!K$1,SMALL(Dong8,ROWS($1:4)),))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</row>
    <row r="20" spans="1:10" ht="20.25" customHeight="1">
      <c r="A20" s="700" t="str">
        <f ca="1">IF(ROWS($1:5)&gt;COUNT(Dong8),"",OFFSET(TH!C$1,SMALL(Dong8,ROWS($1:5)),))</f>
        <v/>
      </c>
      <c r="B20" s="700" t="str">
        <f ca="1">IF(ROWS($1:5)&gt;COUNT(Dong8),"",OFFSET(TH!D$1,SMALL(Dong8,ROWS($1:5)),))</f>
        <v/>
      </c>
      <c r="C20" s="700" t="str">
        <f ca="1">IF(ROWS($1:5)&gt;COUNT(Dong8),"",OFFSET(TH!E$1,SMALL(Dong8,ROWS($1:5)),))</f>
        <v/>
      </c>
      <c r="D20" s="701" t="str">
        <f ca="1">IF(ROWS($1:5)&gt;COUNT(Dong8),"",OFFSET(TH!F$1,SMALL(Dong8,ROWS($1:5)),))</f>
        <v/>
      </c>
      <c r="E20" s="700" t="str">
        <f ca="1">IF(ROWS($1:5)&gt;COUNT(Dong8),"",OFFSET(TH!M$1,SMALL(Dong8,ROWS($1:5)),))</f>
        <v/>
      </c>
      <c r="F20" s="702" t="str">
        <f ca="1">IF(ROWS($1:5)&gt;COUNT(Dong8),"",OFFSET(TH!K$1,SMALL(Dong8,ROWS($1:5)),))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</row>
    <row r="21" spans="1:10" ht="20.25" customHeight="1">
      <c r="A21" s="700"/>
      <c r="B21" s="703"/>
      <c r="C21" s="700"/>
      <c r="D21" s="704"/>
      <c r="E21" s="705"/>
      <c r="F21" s="706"/>
      <c r="G21" s="706"/>
      <c r="H21" s="706"/>
      <c r="I21" s="706"/>
      <c r="J21" s="706"/>
    </row>
    <row r="22" spans="1:10" ht="20.25" customHeight="1">
      <c r="A22" s="700"/>
      <c r="B22" s="703"/>
      <c r="C22" s="700"/>
      <c r="D22" s="698" t="s">
        <v>133</v>
      </c>
      <c r="E22" s="697" t="s">
        <v>19</v>
      </c>
      <c r="F22" s="699">
        <f ca="1">SUM(F15:F21)</f>
        <v>0</v>
      </c>
      <c r="G22" s="699">
        <f ca="1">SUM(G15:G21)</f>
        <v>0</v>
      </c>
      <c r="H22" s="699">
        <f ca="1">SUM(H15:H21)</f>
        <v>0</v>
      </c>
      <c r="I22" s="699">
        <f ca="1">SUM(I15:I21)</f>
        <v>0</v>
      </c>
      <c r="J22" s="699">
        <f ca="1">SUM(J15:J21)</f>
        <v>0</v>
      </c>
    </row>
    <row r="23" spans="1:10" ht="20.25" customHeight="1">
      <c r="A23" s="707"/>
      <c r="B23" s="705"/>
      <c r="C23" s="707"/>
      <c r="D23" s="708" t="s">
        <v>475</v>
      </c>
      <c r="E23" s="703"/>
      <c r="F23" s="709">
        <f ca="1">SUM(G23:J23)</f>
        <v>0</v>
      </c>
      <c r="G23" s="709">
        <f ca="1">G22</f>
        <v>0</v>
      </c>
      <c r="H23" s="709">
        <f ca="1">H22</f>
        <v>0</v>
      </c>
      <c r="I23" s="709">
        <f ca="1">I22</f>
        <v>0</v>
      </c>
      <c r="J23" s="709">
        <f ca="1">J22</f>
        <v>0</v>
      </c>
    </row>
    <row r="24" spans="1:10" ht="20.25" customHeight="1">
      <c r="A24" s="710"/>
      <c r="B24" s="710"/>
      <c r="C24" s="710"/>
      <c r="D24" s="711" t="s">
        <v>10</v>
      </c>
      <c r="E24" s="710" t="s">
        <v>19</v>
      </c>
      <c r="F24" s="712">
        <f ca="1">F15+F22-F23</f>
        <v>0</v>
      </c>
      <c r="G24" s="712">
        <f ca="1">G15+G22-G23</f>
        <v>0</v>
      </c>
      <c r="H24" s="712">
        <f ca="1">H15+H22-H23</f>
        <v>0</v>
      </c>
      <c r="I24" s="712">
        <f ca="1">I15+I22-I23</f>
        <v>0</v>
      </c>
      <c r="J24" s="712">
        <f ca="1">J15+J22-J23</f>
        <v>0</v>
      </c>
    </row>
    <row r="26" spans="1:10">
      <c r="B26" s="713"/>
      <c r="C26" s="693" t="s">
        <v>476</v>
      </c>
    </row>
    <row r="27" spans="1:10">
      <c r="C27" s="693" t="e">
        <f ca="1">"- Ngày mở sổ: "&amp;"01/"&amp;MONTH(A16)&amp;"/ "&amp;YEAR(A16)</f>
        <v>#VALUE!</v>
      </c>
    </row>
    <row r="28" spans="1:10">
      <c r="E28" s="692"/>
      <c r="F28" s="692"/>
      <c r="G28" s="692"/>
      <c r="H28" s="692"/>
      <c r="I28" s="1013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13"/>
    </row>
    <row r="29" spans="1:10">
      <c r="B29" s="692"/>
      <c r="C29" s="689" t="s">
        <v>11</v>
      </c>
      <c r="D29" s="692"/>
      <c r="E29" s="692"/>
      <c r="F29" s="692"/>
      <c r="G29" s="692"/>
      <c r="H29" s="692"/>
      <c r="I29" s="1013" t="s">
        <v>12</v>
      </c>
      <c r="J29" s="1013"/>
    </row>
    <row r="30" spans="1:10">
      <c r="B30" s="692"/>
      <c r="C30" s="689" t="s">
        <v>13</v>
      </c>
      <c r="D30" s="692"/>
      <c r="E30" s="692"/>
      <c r="F30" s="692"/>
      <c r="G30" s="692"/>
      <c r="H30" s="692"/>
      <c r="I30" s="692"/>
      <c r="J30" s="692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89" customWidth="1"/>
    <col min="3" max="3" width="8.5703125" style="689" customWidth="1"/>
    <col min="4" max="4" width="51.42578125" style="689" customWidth="1"/>
    <col min="5" max="5" width="8" style="689" customWidth="1"/>
    <col min="6" max="6" width="12.28515625" style="689" bestFit="1" customWidth="1"/>
    <col min="7" max="7" width="10.140625" style="689" customWidth="1"/>
    <col min="8" max="8" width="10.7109375" style="689" customWidth="1"/>
    <col min="9" max="9" width="11.42578125" style="689" customWidth="1"/>
    <col min="10" max="10" width="11.5703125" style="689" customWidth="1"/>
    <col min="11" max="11" width="11.42578125" style="689" customWidth="1"/>
    <col min="12" max="12" width="9.42578125" style="689" customWidth="1"/>
    <col min="13" max="13" width="6.7109375" style="689" customWidth="1"/>
    <col min="14" max="16384" width="9.140625" style="689"/>
  </cols>
  <sheetData>
    <row r="2" spans="1:15">
      <c r="A2" s="688" t="str">
        <f>'632'!A2</f>
        <v>Đơn vị: CÔNG TY TNHH MỘT THÀNH VIÊN KHỞI NGUYÊN AN</v>
      </c>
      <c r="F2" s="690"/>
      <c r="G2" s="690"/>
      <c r="H2" s="1058" t="s">
        <v>459</v>
      </c>
      <c r="I2" s="1058"/>
      <c r="J2" s="1058"/>
      <c r="K2" s="1058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1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61"/>
      <c r="J3" s="1061"/>
      <c r="K3" s="1061"/>
      <c r="L3" s="692"/>
    </row>
    <row r="4" spans="1:15">
      <c r="H4" s="1061"/>
      <c r="I4" s="1061"/>
      <c r="J4" s="1061"/>
      <c r="K4" s="1061"/>
      <c r="L4" s="692"/>
    </row>
    <row r="5" spans="1:15" ht="19.5" customHeight="1">
      <c r="A5" s="1059" t="s">
        <v>460</v>
      </c>
      <c r="B5" s="1059"/>
      <c r="C5" s="1059"/>
      <c r="D5" s="1059"/>
      <c r="E5" s="1059"/>
      <c r="F5" s="1059"/>
      <c r="G5" s="1059"/>
      <c r="H5" s="1059"/>
      <c r="I5" s="1059"/>
      <c r="J5" s="1059"/>
      <c r="K5" s="1059"/>
      <c r="L5" s="1059"/>
      <c r="M5" s="691" t="s">
        <v>83</v>
      </c>
      <c r="N5" s="618">
        <f>IF(N13="Quý I",1,IF(N13="Quý II",4,IF(N13="Quý III",7,IF(N13="Quý IV",10,""))))</f>
        <v>4</v>
      </c>
      <c r="O5" s="618">
        <f>IF(N13="Quý I",3,IF(N13="Quý II",6,IF(N13="Quý III",9,IF(N13="Quý IV",12,""))))</f>
        <v>6</v>
      </c>
    </row>
    <row r="6" spans="1:15">
      <c r="A6" s="1060" t="s">
        <v>461</v>
      </c>
      <c r="B6" s="1060"/>
      <c r="C6" s="1060"/>
      <c r="D6" s="1060"/>
      <c r="E6" s="1060"/>
      <c r="F6" s="1060"/>
      <c r="G6" s="1060"/>
      <c r="H6" s="1060"/>
      <c r="I6" s="1060"/>
      <c r="J6" s="1060"/>
      <c r="K6" s="1060"/>
      <c r="L6" s="1060"/>
    </row>
    <row r="7" spans="1:15">
      <c r="B7" s="692"/>
      <c r="C7" s="692"/>
      <c r="D7" s="692"/>
      <c r="E7" s="693" t="s">
        <v>477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7"/>
      <c r="D10" s="1057"/>
      <c r="E10" s="1057"/>
      <c r="F10" s="1057"/>
      <c r="G10" s="1057"/>
      <c r="H10" s="1057"/>
      <c r="I10" s="1057"/>
      <c r="J10" s="1057"/>
      <c r="K10" s="1057"/>
      <c r="L10" s="1057"/>
    </row>
    <row r="11" spans="1:15" ht="15.75" customHeight="1">
      <c r="A11" s="1054" t="s">
        <v>20</v>
      </c>
      <c r="B11" s="1055" t="s">
        <v>1</v>
      </c>
      <c r="C11" s="1055"/>
      <c r="D11" s="1054" t="s">
        <v>0</v>
      </c>
      <c r="E11" s="1054" t="s">
        <v>219</v>
      </c>
      <c r="F11" s="1055" t="s">
        <v>478</v>
      </c>
      <c r="G11" s="1055"/>
      <c r="H11" s="1055"/>
      <c r="I11" s="1055"/>
      <c r="J11" s="1055"/>
      <c r="K11" s="1055"/>
      <c r="L11" s="1055"/>
    </row>
    <row r="12" spans="1:15" ht="15.75" customHeight="1" thickBot="1">
      <c r="A12" s="1054"/>
      <c r="B12" s="1056" t="s">
        <v>15</v>
      </c>
      <c r="C12" s="1056" t="s">
        <v>32</v>
      </c>
      <c r="D12" s="1054"/>
      <c r="E12" s="1054"/>
      <c r="F12" s="1056" t="s">
        <v>466</v>
      </c>
      <c r="G12" s="1056" t="s">
        <v>467</v>
      </c>
      <c r="H12" s="1056"/>
      <c r="I12" s="1056"/>
      <c r="J12" s="1056"/>
      <c r="K12" s="1056"/>
      <c r="L12" s="1056"/>
    </row>
    <row r="13" spans="1:15" ht="29.25" customHeight="1" thickBot="1">
      <c r="A13" s="1054"/>
      <c r="B13" s="1056"/>
      <c r="C13" s="1056"/>
      <c r="D13" s="1054"/>
      <c r="E13" s="1054"/>
      <c r="F13" s="1056"/>
      <c r="G13" s="715" t="s">
        <v>47</v>
      </c>
      <c r="H13" s="715" t="s">
        <v>24</v>
      </c>
      <c r="I13" s="715" t="s">
        <v>63</v>
      </c>
      <c r="J13" s="715" t="s">
        <v>273</v>
      </c>
      <c r="K13" s="715"/>
      <c r="L13" s="715"/>
      <c r="N13" s="717" t="s">
        <v>367</v>
      </c>
    </row>
    <row r="14" spans="1:15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  <c r="K14" s="696">
        <v>6</v>
      </c>
      <c r="L14" s="696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IF(ROWS($1:1)&gt;COUNT(Dong7),"",OFFSET(TH!C$1,SMALL(Dong7,ROWS($1:1)),))</f>
        <v/>
      </c>
      <c r="B16" s="700" t="str">
        <f ca="1">IF(ROWS($1:1)&gt;COUNT(Dong7),"",OFFSET(TH!D$1,SMALL(Dong7,ROWS($1:1)),))</f>
        <v/>
      </c>
      <c r="C16" s="700" t="str">
        <f ca="1">IF(ROWS($1:1)&gt;COUNT(Dong7),"",OFFSET(TH!E$1,SMALL(Dong7,ROWS($1:1)),))</f>
        <v/>
      </c>
      <c r="D16" s="701" t="str">
        <f ca="1">IF(ROWS($1:1)&gt;COUNT(Dong7),"",OFFSET(TH!F$1,SMALL(Dong7,ROWS($1:1)),))</f>
        <v/>
      </c>
      <c r="E16" s="700" t="str">
        <f ca="1">IF(ROWS($1:1)&gt;COUNT(Dong7),"",OFFSET(TH!M$1,SMALL(Dong7,ROWS($1:1)),))</f>
        <v/>
      </c>
      <c r="F16" s="702" t="str">
        <f ca="1">IF(ROWS($1:1)&gt;COUNT(Dong7),"",OFFSET(TH!K$1,SMALL(Dong7,ROWS($1:1)),))</f>
        <v/>
      </c>
      <c r="G16" s="702">
        <f t="shared" ref="G16:J30" ca="1" si="0">IF($E16=G$13,$F16,0)</f>
        <v>0</v>
      </c>
      <c r="H16" s="702">
        <f t="shared" ca="1" si="0"/>
        <v>0</v>
      </c>
      <c r="I16" s="702">
        <f t="shared" ca="1" si="0"/>
        <v>0</v>
      </c>
      <c r="J16" s="702">
        <f t="shared" ca="1" si="0"/>
        <v>0</v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IF(ROWS($1:2)&gt;COUNT(Dong7),"",OFFSET(TH!C$1,SMALL(Dong7,ROWS($1:2)),))</f>
        <v/>
      </c>
      <c r="B17" s="700" t="str">
        <f ca="1">IF(ROWS($1:2)&gt;COUNT(Dong7),"",OFFSET(TH!D$1,SMALL(Dong7,ROWS($1:2)),))</f>
        <v/>
      </c>
      <c r="C17" s="700" t="str">
        <f ca="1">IF(ROWS($1:2)&gt;COUNT(Dong7),"",OFFSET(TH!E$1,SMALL(Dong7,ROWS($1:2)),))</f>
        <v/>
      </c>
      <c r="D17" s="701" t="str">
        <f ca="1">IF(ROWS($1:2)&gt;COUNT(Dong7),"",OFFSET(TH!F$1,SMALL(Dong7,ROWS($1:2)),))</f>
        <v/>
      </c>
      <c r="E17" s="700" t="str">
        <f ca="1">IF(ROWS($1:2)&gt;COUNT(Dong7),"",OFFSET(TH!M$1,SMALL(Dong7,ROWS($1:2)),))</f>
        <v/>
      </c>
      <c r="F17" s="702" t="str">
        <f ca="1">IF(ROWS($1:2)&gt;COUNT(Dong7),"",OFFSET(TH!K$1,SMALL(Dong7,ROWS($1:2)),))</f>
        <v/>
      </c>
      <c r="G17" s="702">
        <f t="shared" ca="1" si="0"/>
        <v>0</v>
      </c>
      <c r="H17" s="702">
        <f t="shared" ca="1" si="0"/>
        <v>0</v>
      </c>
      <c r="I17" s="702">
        <f t="shared" ca="1" si="0"/>
        <v>0</v>
      </c>
      <c r="J17" s="702">
        <f t="shared" ca="1" si="0"/>
        <v>0</v>
      </c>
      <c r="K17" s="702" t="str">
        <f t="shared" ref="K17:L30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IF(ROWS($1:3)&gt;COUNT(Dong7),"",OFFSET(TH!C$1,SMALL(Dong7,ROWS($1:3)),))</f>
        <v/>
      </c>
      <c r="B18" s="700" t="str">
        <f ca="1">IF(ROWS($1:3)&gt;COUNT(Dong7),"",OFFSET(TH!D$1,SMALL(Dong7,ROWS($1:3)),))</f>
        <v/>
      </c>
      <c r="C18" s="700" t="str">
        <f ca="1">IF(ROWS($1:3)&gt;COUNT(Dong7),"",OFFSET(TH!E$1,SMALL(Dong7,ROWS($1:3)),))</f>
        <v/>
      </c>
      <c r="D18" s="701" t="str">
        <f ca="1">IF(ROWS($1:3)&gt;COUNT(Dong7),"",OFFSET(TH!F$1,SMALL(Dong7,ROWS($1:3)),))</f>
        <v/>
      </c>
      <c r="E18" s="700" t="str">
        <f ca="1">IF(ROWS($1:3)&gt;COUNT(Dong7),"",OFFSET(TH!M$1,SMALL(Dong7,ROWS($1:3)),))</f>
        <v/>
      </c>
      <c r="F18" s="702" t="str">
        <f ca="1">IF(ROWS($1:3)&gt;COUNT(Dong7),"",OFFSET(TH!K$1,SMALL(Dong7,ROWS($1:3)),))</f>
        <v/>
      </c>
      <c r="G18" s="702">
        <f t="shared" ca="1" si="0"/>
        <v>0</v>
      </c>
      <c r="H18" s="702">
        <f t="shared" ca="1" si="0"/>
        <v>0</v>
      </c>
      <c r="I18" s="702">
        <f t="shared" ca="1" si="0"/>
        <v>0</v>
      </c>
      <c r="J18" s="702">
        <f t="shared" ca="1" si="0"/>
        <v>0</v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IF(ROWS($1:4)&gt;COUNT(Dong7),"",OFFSET(TH!C$1,SMALL(Dong7,ROWS($1:4)),))</f>
        <v/>
      </c>
      <c r="B19" s="700" t="str">
        <f ca="1">IF(ROWS($1:4)&gt;COUNT(Dong7),"",OFFSET(TH!D$1,SMALL(Dong7,ROWS($1:4)),))</f>
        <v/>
      </c>
      <c r="C19" s="700" t="str">
        <f ca="1">IF(ROWS($1:4)&gt;COUNT(Dong7),"",OFFSET(TH!E$1,SMALL(Dong7,ROWS($1:4)),))</f>
        <v/>
      </c>
      <c r="D19" s="701" t="str">
        <f ca="1">IF(ROWS($1:4)&gt;COUNT(Dong7),"",OFFSET(TH!F$1,SMALL(Dong7,ROWS($1:4)),))</f>
        <v/>
      </c>
      <c r="E19" s="700" t="str">
        <f ca="1">IF(ROWS($1:4)&gt;COUNT(Dong7),"",OFFSET(TH!M$1,SMALL(Dong7,ROWS($1:4)),))</f>
        <v/>
      </c>
      <c r="F19" s="702" t="str">
        <f ca="1">IF(ROWS($1:4)&gt;COUNT(Dong7),"",OFFSET(TH!K$1,SMALL(Dong7,ROWS($1:4)),))</f>
        <v/>
      </c>
      <c r="G19" s="702">
        <f t="shared" ca="1" si="0"/>
        <v>0</v>
      </c>
      <c r="H19" s="702">
        <f t="shared" ca="1" si="0"/>
        <v>0</v>
      </c>
      <c r="I19" s="702">
        <f t="shared" ca="1" si="0"/>
        <v>0</v>
      </c>
      <c r="J19" s="702">
        <f t="shared" ca="1" si="0"/>
        <v>0</v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IF(ROWS($1:5)&gt;COUNT(Dong7),"",OFFSET(TH!C$1,SMALL(Dong7,ROWS($1:5)),))</f>
        <v/>
      </c>
      <c r="B20" s="700" t="str">
        <f ca="1">IF(ROWS($1:5)&gt;COUNT(Dong7),"",OFFSET(TH!D$1,SMALL(Dong7,ROWS($1:5)),))</f>
        <v/>
      </c>
      <c r="C20" s="700" t="str">
        <f ca="1">IF(ROWS($1:5)&gt;COUNT(Dong7),"",OFFSET(TH!E$1,SMALL(Dong7,ROWS($1:5)),))</f>
        <v/>
      </c>
      <c r="D20" s="701" t="str">
        <f ca="1">IF(ROWS($1:5)&gt;COUNT(Dong7),"",OFFSET(TH!F$1,SMALL(Dong7,ROWS($1:5)),))</f>
        <v/>
      </c>
      <c r="E20" s="700" t="str">
        <f ca="1">IF(ROWS($1:5)&gt;COUNT(Dong7),"",OFFSET(TH!M$1,SMALL(Dong7,ROWS($1:5)),))</f>
        <v/>
      </c>
      <c r="F20" s="702" t="str">
        <f ca="1">IF(ROWS($1:5)&gt;COUNT(Dong7),"",OFFSET(TH!K$1,SMALL(Dong7,ROWS($1:5)),))</f>
        <v/>
      </c>
      <c r="G20" s="702">
        <f t="shared" ca="1" si="0"/>
        <v>0</v>
      </c>
      <c r="H20" s="702">
        <f t="shared" ca="1" si="0"/>
        <v>0</v>
      </c>
      <c r="I20" s="702">
        <f t="shared" ca="1" si="0"/>
        <v>0</v>
      </c>
      <c r="J20" s="702">
        <f t="shared" ca="1" si="0"/>
        <v>0</v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IF(ROWS($1:6)&gt;COUNT(Dong7),"",OFFSET(TH!C$1,SMALL(Dong7,ROWS($1:6)),))</f>
        <v/>
      </c>
      <c r="B21" s="700" t="str">
        <f ca="1">IF(ROWS($1:6)&gt;COUNT(Dong7),"",OFFSET(TH!D$1,SMALL(Dong7,ROWS($1:6)),))</f>
        <v/>
      </c>
      <c r="C21" s="700" t="str">
        <f ca="1">IF(ROWS($1:6)&gt;COUNT(Dong7),"",OFFSET(TH!E$1,SMALL(Dong7,ROWS($1:6)),))</f>
        <v/>
      </c>
      <c r="D21" s="701" t="str">
        <f ca="1">IF(ROWS($1:6)&gt;COUNT(Dong7),"",OFFSET(TH!F$1,SMALL(Dong7,ROWS($1:6)),))</f>
        <v/>
      </c>
      <c r="E21" s="700" t="str">
        <f ca="1">IF(ROWS($1:6)&gt;COUNT(Dong7),"",OFFSET(TH!M$1,SMALL(Dong7,ROWS($1:6)),))</f>
        <v/>
      </c>
      <c r="F21" s="702" t="str">
        <f ca="1">IF(ROWS($1:6)&gt;COUNT(Dong7),"",OFFSET(TH!K$1,SMALL(Dong7,ROWS($1:6)),))</f>
        <v/>
      </c>
      <c r="G21" s="702">
        <f t="shared" ca="1" si="0"/>
        <v>0</v>
      </c>
      <c r="H21" s="702">
        <f t="shared" ca="1" si="0"/>
        <v>0</v>
      </c>
      <c r="I21" s="702">
        <f t="shared" ca="1" si="0"/>
        <v>0</v>
      </c>
      <c r="J21" s="702">
        <f t="shared" ca="1" si="0"/>
        <v>0</v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IF(ROWS($1:7)&gt;COUNT(Dong7),"",OFFSET(TH!C$1,SMALL(Dong7,ROWS($1:7)),))</f>
        <v/>
      </c>
      <c r="B22" s="700" t="str">
        <f ca="1">IF(ROWS($1:7)&gt;COUNT(Dong7),"",OFFSET(TH!D$1,SMALL(Dong7,ROWS($1:7)),))</f>
        <v/>
      </c>
      <c r="C22" s="700" t="str">
        <f ca="1">IF(ROWS($1:7)&gt;COUNT(Dong7),"",OFFSET(TH!E$1,SMALL(Dong7,ROWS($1:7)),))</f>
        <v/>
      </c>
      <c r="D22" s="701" t="str">
        <f ca="1">IF(ROWS($1:7)&gt;COUNT(Dong7),"",OFFSET(TH!F$1,SMALL(Dong7,ROWS($1:7)),))</f>
        <v/>
      </c>
      <c r="E22" s="700" t="str">
        <f ca="1">IF(ROWS($1:7)&gt;COUNT(Dong7),"",OFFSET(TH!M$1,SMALL(Dong7,ROWS($1:7)),))</f>
        <v/>
      </c>
      <c r="F22" s="702" t="str">
        <f ca="1">IF(ROWS($1:7)&gt;COUNT(Dong7),"",OFFSET(TH!K$1,SMALL(Dong7,ROWS($1:7)),))</f>
        <v/>
      </c>
      <c r="G22" s="702">
        <f t="shared" ca="1" si="0"/>
        <v>0</v>
      </c>
      <c r="H22" s="702">
        <f t="shared" ca="1" si="0"/>
        <v>0</v>
      </c>
      <c r="I22" s="702">
        <f t="shared" ca="1" si="0"/>
        <v>0</v>
      </c>
      <c r="J22" s="702">
        <f t="shared" ca="1" si="0"/>
        <v>0</v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IF(ROWS($1:8)&gt;COUNT(Dong7),"",OFFSET(TH!C$1,SMALL(Dong7,ROWS($1:8)),))</f>
        <v/>
      </c>
      <c r="B23" s="700" t="str">
        <f ca="1">IF(ROWS($1:8)&gt;COUNT(Dong7),"",OFFSET(TH!D$1,SMALL(Dong7,ROWS($1:8)),))</f>
        <v/>
      </c>
      <c r="C23" s="700" t="str">
        <f ca="1">IF(ROWS($1:8)&gt;COUNT(Dong7),"",OFFSET(TH!E$1,SMALL(Dong7,ROWS($1:8)),))</f>
        <v/>
      </c>
      <c r="D23" s="701" t="str">
        <f ca="1">IF(ROWS($1:8)&gt;COUNT(Dong7),"",OFFSET(TH!F$1,SMALL(Dong7,ROWS($1:8)),))</f>
        <v/>
      </c>
      <c r="E23" s="700" t="str">
        <f ca="1">IF(ROWS($1:8)&gt;COUNT(Dong7),"",OFFSET(TH!M$1,SMALL(Dong7,ROWS($1:8)),))</f>
        <v/>
      </c>
      <c r="F23" s="702" t="str">
        <f ca="1">IF(ROWS($1:8)&gt;COUNT(Dong7),"",OFFSET(TH!K$1,SMALL(Dong7,ROWS($1:8)),))</f>
        <v/>
      </c>
      <c r="G23" s="702">
        <f t="shared" ca="1" si="0"/>
        <v>0</v>
      </c>
      <c r="H23" s="702">
        <f t="shared" ca="1" si="0"/>
        <v>0</v>
      </c>
      <c r="I23" s="702">
        <f t="shared" ca="1" si="0"/>
        <v>0</v>
      </c>
      <c r="J23" s="702">
        <f t="shared" ca="1" si="0"/>
        <v>0</v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IF(ROWS($1:9)&gt;COUNT(Dong7),"",OFFSET(TH!C$1,SMALL(Dong7,ROWS($1:9)),))</f>
        <v/>
      </c>
      <c r="B24" s="700" t="str">
        <f ca="1">IF(ROWS($1:9)&gt;COUNT(Dong7),"",OFFSET(TH!D$1,SMALL(Dong7,ROWS($1:9)),))</f>
        <v/>
      </c>
      <c r="C24" s="700" t="str">
        <f ca="1">IF(ROWS($1:9)&gt;COUNT(Dong7),"",OFFSET(TH!E$1,SMALL(Dong7,ROWS($1:9)),))</f>
        <v/>
      </c>
      <c r="D24" s="701" t="str">
        <f ca="1">IF(ROWS($1:9)&gt;COUNT(Dong7),"",OFFSET(TH!F$1,SMALL(Dong7,ROWS($1:9)),))</f>
        <v/>
      </c>
      <c r="E24" s="700" t="str">
        <f ca="1">IF(ROWS($1:9)&gt;COUNT(Dong7),"",OFFSET(TH!M$1,SMALL(Dong7,ROWS($1:9)),))</f>
        <v/>
      </c>
      <c r="F24" s="702" t="str">
        <f ca="1">IF(ROWS($1:9)&gt;COUNT(Dong7),"",OFFSET(TH!K$1,SMALL(Dong7,ROWS($1:9)),))</f>
        <v/>
      </c>
      <c r="G24" s="702">
        <f t="shared" ca="1" si="0"/>
        <v>0</v>
      </c>
      <c r="H24" s="702">
        <f t="shared" ca="1" si="0"/>
        <v>0</v>
      </c>
      <c r="I24" s="702">
        <f t="shared" ca="1" si="0"/>
        <v>0</v>
      </c>
      <c r="J24" s="702">
        <f t="shared" ca="1" si="0"/>
        <v>0</v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IF(ROWS($1:10)&gt;COUNT(Dong7),"",OFFSET(TH!C$1,SMALL(Dong7,ROWS($1:10)),))</f>
        <v/>
      </c>
      <c r="B25" s="700" t="str">
        <f ca="1">IF(ROWS($1:10)&gt;COUNT(Dong7),"",OFFSET(TH!D$1,SMALL(Dong7,ROWS($1:10)),))</f>
        <v/>
      </c>
      <c r="C25" s="700" t="str">
        <f ca="1">IF(ROWS($1:10)&gt;COUNT(Dong7),"",OFFSET(TH!E$1,SMALL(Dong7,ROWS($1:10)),))</f>
        <v/>
      </c>
      <c r="D25" s="701" t="str">
        <f ca="1">IF(ROWS($1:10)&gt;COUNT(Dong7),"",OFFSET(TH!F$1,SMALL(Dong7,ROWS($1:10)),))</f>
        <v/>
      </c>
      <c r="E25" s="700" t="str">
        <f ca="1">IF(ROWS($1:10)&gt;COUNT(Dong7),"",OFFSET(TH!M$1,SMALL(Dong7,ROWS($1:10)),))</f>
        <v/>
      </c>
      <c r="F25" s="702" t="str">
        <f ca="1">IF(ROWS($1:10)&gt;COUNT(Dong7),"",OFFSET(TH!K$1,SMALL(Dong7,ROWS($1:10)),))</f>
        <v/>
      </c>
      <c r="G25" s="702">
        <f t="shared" ca="1" si="0"/>
        <v>0</v>
      </c>
      <c r="H25" s="702">
        <f t="shared" ca="1" si="0"/>
        <v>0</v>
      </c>
      <c r="I25" s="702">
        <f t="shared" ca="1" si="0"/>
        <v>0</v>
      </c>
      <c r="J25" s="702">
        <f t="shared" ca="1" si="0"/>
        <v>0</v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 t="str">
        <f ca="1">IF(ROWS($1:11)&gt;COUNT(Dong7),"",OFFSET(TH!C$1,SMALL(Dong7,ROWS($1:11)),))</f>
        <v/>
      </c>
      <c r="B26" s="700" t="str">
        <f ca="1">IF(ROWS($1:11)&gt;COUNT(Dong7),"",OFFSET(TH!D$1,SMALL(Dong7,ROWS($1:11)),))</f>
        <v/>
      </c>
      <c r="C26" s="700" t="str">
        <f ca="1">IF(ROWS($1:11)&gt;COUNT(Dong7),"",OFFSET(TH!E$1,SMALL(Dong7,ROWS($1:11)),))</f>
        <v/>
      </c>
      <c r="D26" s="701" t="str">
        <f ca="1">IF(ROWS($1:11)&gt;COUNT(Dong7),"",OFFSET(TH!F$1,SMALL(Dong7,ROWS($1:11)),))</f>
        <v/>
      </c>
      <c r="E26" s="700" t="str">
        <f ca="1">IF(ROWS($1:11)&gt;COUNT(Dong7),"",OFFSET(TH!M$1,SMALL(Dong7,ROWS($1:11)),))</f>
        <v/>
      </c>
      <c r="F26" s="702" t="str">
        <f ca="1">IF(ROWS($1:11)&gt;COUNT(Dong7),"",OFFSET(TH!K$1,SMALL(Dong7,ROWS($1:11)),))</f>
        <v/>
      </c>
      <c r="G26" s="702">
        <f t="shared" ca="1" si="0"/>
        <v>0</v>
      </c>
      <c r="H26" s="702">
        <f t="shared" ca="1" si="0"/>
        <v>0</v>
      </c>
      <c r="I26" s="702">
        <f t="shared" ca="1" si="0"/>
        <v>0</v>
      </c>
      <c r="J26" s="702">
        <f t="shared" ca="1" si="0"/>
        <v>0</v>
      </c>
      <c r="K26" s="702" t="str">
        <f t="shared" ca="1" si="1"/>
        <v/>
      </c>
      <c r="L26" s="702" t="str">
        <f t="shared" ca="1" si="1"/>
        <v/>
      </c>
    </row>
    <row r="27" spans="1:12" ht="21.75" customHeight="1">
      <c r="A27" s="700" t="str">
        <f ca="1">IF(ROWS($1:12)&gt;COUNT(Dong7),"",OFFSET(TH!C$1,SMALL(Dong7,ROWS($1:12)),))</f>
        <v/>
      </c>
      <c r="B27" s="700" t="str">
        <f ca="1">IF(ROWS($1:12)&gt;COUNT(Dong7),"",OFFSET(TH!D$1,SMALL(Dong7,ROWS($1:12)),))</f>
        <v/>
      </c>
      <c r="C27" s="700" t="str">
        <f ca="1">IF(ROWS($1:12)&gt;COUNT(Dong7),"",OFFSET(TH!E$1,SMALL(Dong7,ROWS($1:12)),))</f>
        <v/>
      </c>
      <c r="D27" s="701" t="str">
        <f ca="1">IF(ROWS($1:12)&gt;COUNT(Dong7),"",OFFSET(TH!F$1,SMALL(Dong7,ROWS($1:12)),))</f>
        <v/>
      </c>
      <c r="E27" s="700" t="str">
        <f ca="1">IF(ROWS($1:12)&gt;COUNT(Dong7),"",OFFSET(TH!M$1,SMALL(Dong7,ROWS($1:12)),))</f>
        <v/>
      </c>
      <c r="F27" s="702" t="str">
        <f ca="1">IF(ROWS($1:12)&gt;COUNT(Dong7),"",OFFSET(TH!K$1,SMALL(Dong7,ROWS($1:12)),))</f>
        <v/>
      </c>
      <c r="G27" s="702">
        <f t="shared" ca="1" si="0"/>
        <v>0</v>
      </c>
      <c r="H27" s="702">
        <f t="shared" ca="1" si="0"/>
        <v>0</v>
      </c>
      <c r="I27" s="702">
        <f t="shared" ca="1" si="0"/>
        <v>0</v>
      </c>
      <c r="J27" s="702">
        <f t="shared" ca="1" si="0"/>
        <v>0</v>
      </c>
      <c r="K27" s="702" t="str">
        <f t="shared" ca="1" si="1"/>
        <v/>
      </c>
      <c r="L27" s="702" t="str">
        <f t="shared" ca="1" si="1"/>
        <v/>
      </c>
    </row>
    <row r="28" spans="1:12" ht="21.75" customHeight="1">
      <c r="A28" s="700" t="str">
        <f ca="1">IF(ROWS($1:13)&gt;COUNT(Dong7),"",OFFSET(TH!C$1,SMALL(Dong7,ROWS($1:13)),))</f>
        <v/>
      </c>
      <c r="B28" s="700" t="str">
        <f ca="1">IF(ROWS($1:13)&gt;COUNT(Dong7),"",OFFSET(TH!D$1,SMALL(Dong7,ROWS($1:13)),))</f>
        <v/>
      </c>
      <c r="C28" s="700" t="str">
        <f ca="1">IF(ROWS($1:13)&gt;COUNT(Dong7),"",OFFSET(TH!E$1,SMALL(Dong7,ROWS($1:13)),))</f>
        <v/>
      </c>
      <c r="D28" s="701" t="str">
        <f ca="1">IF(ROWS($1:13)&gt;COUNT(Dong7),"",OFFSET(TH!F$1,SMALL(Dong7,ROWS($1:13)),))</f>
        <v/>
      </c>
      <c r="E28" s="700" t="str">
        <f ca="1">IF(ROWS($1:13)&gt;COUNT(Dong7),"",OFFSET(TH!M$1,SMALL(Dong7,ROWS($1:13)),))</f>
        <v/>
      </c>
      <c r="F28" s="702" t="str">
        <f ca="1">IF(ROWS($1:13)&gt;COUNT(Dong7),"",OFFSET(TH!K$1,SMALL(Dong7,ROWS($1:13)),))</f>
        <v/>
      </c>
      <c r="G28" s="702">
        <f t="shared" ca="1" si="0"/>
        <v>0</v>
      </c>
      <c r="H28" s="702">
        <f t="shared" ca="1" si="0"/>
        <v>0</v>
      </c>
      <c r="I28" s="702">
        <f t="shared" ca="1" si="0"/>
        <v>0</v>
      </c>
      <c r="J28" s="702">
        <f t="shared" ca="1" si="0"/>
        <v>0</v>
      </c>
      <c r="K28" s="702" t="str">
        <f t="shared" ca="1" si="1"/>
        <v/>
      </c>
      <c r="L28" s="702" t="str">
        <f t="shared" ca="1" si="1"/>
        <v/>
      </c>
    </row>
    <row r="29" spans="1:12" ht="21.75" customHeight="1">
      <c r="A29" s="700" t="str">
        <f ca="1">IF(ROWS($1:14)&gt;COUNT(Dong7),"",OFFSET(TH!C$1,SMALL(Dong7,ROWS($1:14)),))</f>
        <v/>
      </c>
      <c r="B29" s="700" t="str">
        <f ca="1">IF(ROWS($1:14)&gt;COUNT(Dong7),"",OFFSET(TH!D$1,SMALL(Dong7,ROWS($1:14)),))</f>
        <v/>
      </c>
      <c r="C29" s="700" t="str">
        <f ca="1">IF(ROWS($1:14)&gt;COUNT(Dong7),"",OFFSET(TH!E$1,SMALL(Dong7,ROWS($1:14)),))</f>
        <v/>
      </c>
      <c r="D29" s="701" t="str">
        <f ca="1">IF(ROWS($1:14)&gt;COUNT(Dong7),"",OFFSET(TH!F$1,SMALL(Dong7,ROWS($1:14)),))</f>
        <v/>
      </c>
      <c r="E29" s="700" t="str">
        <f ca="1">IF(ROWS($1:14)&gt;COUNT(Dong7),"",OFFSET(TH!M$1,SMALL(Dong7,ROWS($1:14)),))</f>
        <v/>
      </c>
      <c r="F29" s="702" t="str">
        <f ca="1">IF(ROWS($1:14)&gt;COUNT(Dong7),"",OFFSET(TH!K$1,SMALL(Dong7,ROWS($1:14)),))</f>
        <v/>
      </c>
      <c r="G29" s="702">
        <f t="shared" ca="1" si="0"/>
        <v>0</v>
      </c>
      <c r="H29" s="702">
        <f t="shared" ca="1" si="0"/>
        <v>0</v>
      </c>
      <c r="I29" s="702">
        <f t="shared" ca="1" si="0"/>
        <v>0</v>
      </c>
      <c r="J29" s="702">
        <f t="shared" ca="1" si="0"/>
        <v>0</v>
      </c>
      <c r="K29" s="702" t="str">
        <f t="shared" ca="1" si="1"/>
        <v/>
      </c>
      <c r="L29" s="702" t="str">
        <f t="shared" ca="1" si="1"/>
        <v/>
      </c>
    </row>
    <row r="30" spans="1:12" ht="21.75" customHeight="1">
      <c r="A30" s="700" t="str">
        <f ca="1">IF(ROWS($1:15)&gt;COUNT(Dong7),"",OFFSET(TH!C$1,SMALL(Dong7,ROWS($1:15)),))</f>
        <v/>
      </c>
      <c r="B30" s="700" t="str">
        <f ca="1">IF(ROWS($1:15)&gt;COUNT(Dong7),"",OFFSET(TH!D$1,SMALL(Dong7,ROWS($1:15)),))</f>
        <v/>
      </c>
      <c r="C30" s="700" t="str">
        <f ca="1">IF(ROWS($1:15)&gt;COUNT(Dong7),"",OFFSET(TH!E$1,SMALL(Dong7,ROWS($1:15)),))</f>
        <v/>
      </c>
      <c r="D30" s="701" t="str">
        <f ca="1">IF(ROWS($1:15)&gt;COUNT(Dong7),"",OFFSET(TH!F$1,SMALL(Dong7,ROWS($1:15)),))</f>
        <v/>
      </c>
      <c r="E30" s="700" t="str">
        <f ca="1">IF(ROWS($1:15)&gt;COUNT(Dong7),"",OFFSET(TH!M$1,SMALL(Dong7,ROWS($1:15)),))</f>
        <v/>
      </c>
      <c r="F30" s="702" t="str">
        <f ca="1">IF(ROWS($1:15)&gt;COUNT(Dong7),"",OFFSET(TH!K$1,SMALL(Dong7,ROWS($1:15)),))</f>
        <v/>
      </c>
      <c r="G30" s="702">
        <f t="shared" ca="1" si="0"/>
        <v>0</v>
      </c>
      <c r="H30" s="702">
        <f t="shared" ca="1" si="0"/>
        <v>0</v>
      </c>
      <c r="I30" s="702">
        <f t="shared" ca="1" si="0"/>
        <v>0</v>
      </c>
      <c r="J30" s="702">
        <f t="shared" ca="1" si="0"/>
        <v>0</v>
      </c>
      <c r="K30" s="702" t="str">
        <f t="shared" ca="1" si="1"/>
        <v/>
      </c>
      <c r="L30" s="702" t="str">
        <f t="shared" ca="1" si="1"/>
        <v/>
      </c>
    </row>
    <row r="31" spans="1:12" ht="21.75" customHeight="1">
      <c r="A31" s="700"/>
      <c r="B31" s="703"/>
      <c r="C31" s="700"/>
      <c r="D31" s="704"/>
      <c r="E31" s="705"/>
      <c r="F31" s="706"/>
      <c r="G31" s="706"/>
      <c r="H31" s="706"/>
      <c r="I31" s="706"/>
      <c r="J31" s="706"/>
      <c r="K31" s="706"/>
      <c r="L31" s="706"/>
    </row>
    <row r="32" spans="1:12" ht="21.75" customHeight="1">
      <c r="A32" s="700"/>
      <c r="B32" s="703"/>
      <c r="C32" s="700"/>
      <c r="D32" s="698" t="s">
        <v>133</v>
      </c>
      <c r="E32" s="697" t="s">
        <v>19</v>
      </c>
      <c r="F32" s="699">
        <f ca="1">SUM(F15:F31)</f>
        <v>0</v>
      </c>
      <c r="G32" s="699">
        <f t="shared" ref="G32:L32" ca="1" si="2">SUM(G15:G31)</f>
        <v>0</v>
      </c>
      <c r="H32" s="699">
        <f t="shared" ca="1" si="2"/>
        <v>0</v>
      </c>
      <c r="I32" s="699">
        <f t="shared" ca="1" si="2"/>
        <v>0</v>
      </c>
      <c r="J32" s="699">
        <f t="shared" ca="1" si="2"/>
        <v>0</v>
      </c>
      <c r="K32" s="699">
        <f t="shared" ca="1" si="2"/>
        <v>0</v>
      </c>
      <c r="L32" s="699">
        <f t="shared" ca="1" si="2"/>
        <v>0</v>
      </c>
    </row>
    <row r="33" spans="1:12" ht="21.75" customHeight="1">
      <c r="A33" s="707"/>
      <c r="B33" s="705"/>
      <c r="C33" s="707"/>
      <c r="D33" s="708" t="s">
        <v>479</v>
      </c>
      <c r="E33" s="703"/>
      <c r="F33" s="709">
        <f ca="1">SUM(G33:L33)</f>
        <v>0</v>
      </c>
      <c r="G33" s="709">
        <f t="shared" ref="G33:L33" ca="1" si="3">G32</f>
        <v>0</v>
      </c>
      <c r="H33" s="709">
        <f t="shared" ca="1" si="3"/>
        <v>0</v>
      </c>
      <c r="I33" s="709">
        <f t="shared" ca="1" si="3"/>
        <v>0</v>
      </c>
      <c r="J33" s="709">
        <f t="shared" ca="1" si="3"/>
        <v>0</v>
      </c>
      <c r="K33" s="709">
        <f t="shared" ca="1" si="3"/>
        <v>0</v>
      </c>
      <c r="L33" s="709">
        <f t="shared" ca="1" si="3"/>
        <v>0</v>
      </c>
    </row>
    <row r="34" spans="1:12" ht="21.75" customHeight="1">
      <c r="A34" s="710"/>
      <c r="B34" s="710"/>
      <c r="C34" s="710"/>
      <c r="D34" s="711" t="s">
        <v>10</v>
      </c>
      <c r="E34" s="710" t="s">
        <v>19</v>
      </c>
      <c r="F34" s="712">
        <f t="shared" ref="F34:L34" ca="1" si="4">F15+F32-F33</f>
        <v>0</v>
      </c>
      <c r="G34" s="712">
        <f t="shared" ca="1" si="4"/>
        <v>0</v>
      </c>
      <c r="H34" s="712">
        <f t="shared" ca="1" si="4"/>
        <v>0</v>
      </c>
      <c r="I34" s="712">
        <f t="shared" ca="1" si="4"/>
        <v>0</v>
      </c>
      <c r="J34" s="712">
        <f t="shared" ca="1" si="4"/>
        <v>0</v>
      </c>
      <c r="K34" s="712">
        <f t="shared" ca="1" si="4"/>
        <v>0</v>
      </c>
      <c r="L34" s="712">
        <f t="shared" ca="1" si="4"/>
        <v>0</v>
      </c>
    </row>
    <row r="36" spans="1:12">
      <c r="B36" s="713"/>
      <c r="C36" s="693" t="s">
        <v>472</v>
      </c>
    </row>
    <row r="37" spans="1:12">
      <c r="C37" s="693" t="e">
        <f ca="1">"- Ngày mở sổ: "&amp;"01/"&amp;MONTH(A16)&amp;"/"&amp;YEAR(A16)</f>
        <v>#VALUE!</v>
      </c>
    </row>
    <row r="38" spans="1:12">
      <c r="E38" s="692"/>
      <c r="F38" s="692"/>
      <c r="G38" s="692"/>
      <c r="H38" s="692"/>
      <c r="I38" s="692"/>
      <c r="J38" s="1013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8" s="1013"/>
      <c r="L38" s="1013"/>
    </row>
    <row r="39" spans="1:12">
      <c r="B39" s="692"/>
      <c r="C39" s="689" t="s">
        <v>11</v>
      </c>
      <c r="D39" s="692"/>
      <c r="E39" s="692"/>
      <c r="F39" s="692"/>
      <c r="G39" s="692"/>
      <c r="H39" s="692"/>
      <c r="I39" s="692"/>
      <c r="J39" s="1013" t="s">
        <v>12</v>
      </c>
      <c r="K39" s="1013"/>
      <c r="L39" s="1013"/>
    </row>
    <row r="40" spans="1:12">
      <c r="B40" s="692"/>
      <c r="C40" s="689" t="s">
        <v>13</v>
      </c>
      <c r="D40" s="692"/>
      <c r="E40" s="692"/>
      <c r="F40" s="692"/>
      <c r="G40" s="692"/>
      <c r="H40" s="692"/>
      <c r="I40" s="692"/>
      <c r="J40" s="1060" t="s">
        <v>13</v>
      </c>
      <c r="K40" s="1060"/>
      <c r="L40" s="1060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86" customWidth="1"/>
    <col min="3" max="3" width="8.5703125" style="786" customWidth="1"/>
    <col min="4" max="4" width="51.42578125" style="786" customWidth="1"/>
    <col min="5" max="5" width="8" style="786" customWidth="1"/>
    <col min="6" max="6" width="12.28515625" style="786" bestFit="1" customWidth="1"/>
    <col min="7" max="7" width="10.140625" style="786" customWidth="1"/>
    <col min="8" max="8" width="10.7109375" style="786" customWidth="1"/>
    <col min="9" max="9" width="11.42578125" style="786" customWidth="1"/>
    <col min="10" max="10" width="11.5703125" style="786" customWidth="1"/>
    <col min="11" max="11" width="11.42578125" style="786" customWidth="1"/>
    <col min="12" max="12" width="9.42578125" style="786" customWidth="1"/>
    <col min="13" max="13" width="6.7109375" style="786" customWidth="1"/>
    <col min="14" max="16384" width="9.140625" style="786"/>
  </cols>
  <sheetData>
    <row r="2" spans="1:15">
      <c r="A2" s="688" t="str">
        <f>'632'!A2</f>
        <v>Đơn vị: CÔNG TY TNHH MỘT THÀNH VIÊN KHỞI NGUYÊN AN</v>
      </c>
      <c r="F2" s="785"/>
      <c r="G2" s="785"/>
      <c r="H2" s="1058" t="s">
        <v>459</v>
      </c>
      <c r="I2" s="1058"/>
      <c r="J2" s="1058"/>
      <c r="K2" s="1058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1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61"/>
      <c r="J3" s="1061"/>
      <c r="K3" s="1061"/>
      <c r="L3" s="692"/>
    </row>
    <row r="4" spans="1:15">
      <c r="H4" s="1061"/>
      <c r="I4" s="1061"/>
      <c r="J4" s="1061"/>
      <c r="K4" s="1061"/>
      <c r="L4" s="692"/>
    </row>
    <row r="5" spans="1:15" ht="19.5" customHeight="1">
      <c r="A5" s="1059" t="s">
        <v>460</v>
      </c>
      <c r="B5" s="1059"/>
      <c r="C5" s="1059"/>
      <c r="D5" s="1059"/>
      <c r="E5" s="1059"/>
      <c r="F5" s="1059"/>
      <c r="G5" s="1059"/>
      <c r="H5" s="1059"/>
      <c r="I5" s="1059"/>
      <c r="J5" s="1059"/>
      <c r="K5" s="1059"/>
      <c r="L5" s="1059"/>
      <c r="M5" s="691" t="s">
        <v>272</v>
      </c>
      <c r="N5" s="618">
        <f>IF(N13="Quý I",1,IF(N13="Quý II",4,IF(N13="Quý III",7,IF(N13="Quý IV",10,""))))</f>
        <v>7</v>
      </c>
      <c r="O5" s="618">
        <f>IF(N13="Quý I",3,IF(N13="Quý II",6,IF(N13="Quý III",9,IF(N13="Quý IV",12,""))))</f>
        <v>9</v>
      </c>
    </row>
    <row r="6" spans="1:15">
      <c r="A6" s="1060" t="s">
        <v>461</v>
      </c>
      <c r="B6" s="1060"/>
      <c r="C6" s="1060"/>
      <c r="D6" s="1060"/>
      <c r="E6" s="1060"/>
      <c r="F6" s="1060"/>
      <c r="G6" s="1060"/>
      <c r="H6" s="1060"/>
      <c r="I6" s="1060"/>
      <c r="J6" s="1060"/>
      <c r="K6" s="1060"/>
      <c r="L6" s="1060"/>
    </row>
    <row r="7" spans="1:15">
      <c r="B7" s="692"/>
      <c r="C7" s="692"/>
      <c r="D7" s="692"/>
      <c r="E7" s="693" t="s">
        <v>575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7"/>
      <c r="D10" s="1057"/>
      <c r="E10" s="1057"/>
      <c r="F10" s="1057"/>
      <c r="G10" s="1057"/>
      <c r="H10" s="1057"/>
      <c r="I10" s="1057"/>
      <c r="J10" s="1057"/>
      <c r="K10" s="1057"/>
      <c r="L10" s="1057"/>
    </row>
    <row r="11" spans="1:15" ht="15.75" customHeight="1">
      <c r="A11" s="1054" t="s">
        <v>20</v>
      </c>
      <c r="B11" s="1055" t="s">
        <v>1</v>
      </c>
      <c r="C11" s="1055"/>
      <c r="D11" s="1054" t="s">
        <v>0</v>
      </c>
      <c r="E11" s="1054" t="s">
        <v>219</v>
      </c>
      <c r="F11" s="1055" t="s">
        <v>574</v>
      </c>
      <c r="G11" s="1055"/>
      <c r="H11" s="1055"/>
      <c r="I11" s="1055"/>
      <c r="J11" s="1055"/>
      <c r="K11" s="1055"/>
      <c r="L11" s="1055"/>
    </row>
    <row r="12" spans="1:15" ht="15.75" customHeight="1" thickBot="1">
      <c r="A12" s="1054"/>
      <c r="B12" s="1056" t="s">
        <v>15</v>
      </c>
      <c r="C12" s="1056" t="s">
        <v>32</v>
      </c>
      <c r="D12" s="1054"/>
      <c r="E12" s="1054"/>
      <c r="F12" s="1056" t="s">
        <v>466</v>
      </c>
      <c r="G12" s="1056" t="s">
        <v>467</v>
      </c>
      <c r="H12" s="1056"/>
      <c r="I12" s="1056"/>
      <c r="J12" s="1056"/>
      <c r="K12" s="1056"/>
      <c r="L12" s="1056"/>
    </row>
    <row r="13" spans="1:15" ht="29.25" customHeight="1" thickBot="1">
      <c r="A13" s="1054"/>
      <c r="B13" s="1056"/>
      <c r="C13" s="1056"/>
      <c r="D13" s="1054"/>
      <c r="E13" s="1054"/>
      <c r="F13" s="1056"/>
      <c r="G13" s="715" t="s">
        <v>47</v>
      </c>
      <c r="H13" s="715" t="s">
        <v>24</v>
      </c>
      <c r="I13" s="715"/>
      <c r="J13" s="715"/>
      <c r="K13" s="715"/>
      <c r="L13" s="715"/>
      <c r="N13" s="717" t="s">
        <v>577</v>
      </c>
    </row>
    <row r="14" spans="1:15">
      <c r="A14" s="787" t="s">
        <v>2</v>
      </c>
      <c r="B14" s="787" t="s">
        <v>3</v>
      </c>
      <c r="C14" s="787" t="s">
        <v>4</v>
      </c>
      <c r="D14" s="787" t="s">
        <v>5</v>
      </c>
      <c r="E14" s="787" t="s">
        <v>6</v>
      </c>
      <c r="F14" s="787">
        <v>1</v>
      </c>
      <c r="G14" s="787">
        <v>2</v>
      </c>
      <c r="H14" s="787">
        <v>3</v>
      </c>
      <c r="I14" s="787">
        <v>4</v>
      </c>
      <c r="J14" s="787">
        <v>5</v>
      </c>
      <c r="K14" s="787">
        <v>6</v>
      </c>
      <c r="L14" s="787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IF(ROWS($1:1)&gt;COUNT(Dong13),"",OFFSET(TH!C$1,SMALL(Dong13,ROWS($1:1)),))</f>
        <v/>
      </c>
      <c r="B16" s="700" t="str">
        <f ca="1">IF(ROWS($1:1)&gt;COUNT(Dong13),"",OFFSET(TH!D$1,SMALL(Dong13,ROWS($1:1)),))</f>
        <v/>
      </c>
      <c r="C16" s="700" t="str">
        <f ca="1">IF(ROWS($1:1)&gt;COUNT(Dong13),"",OFFSET(TH!E$1,SMALL(Dong13,ROWS($1:1)),))</f>
        <v/>
      </c>
      <c r="D16" s="701" t="str">
        <f ca="1">IF(ROWS($1:1)&gt;COUNT(Dong13),"",OFFSET(TH!F$1,SMALL(Dong13,ROWS($1:1)),))</f>
        <v/>
      </c>
      <c r="E16" s="700" t="str">
        <f ca="1">IF(ROWS($1:1)&gt;COUNT(Dong13),"",OFFSET(TH!M$1,SMALL(Dong13,ROWS($1:1)),))</f>
        <v/>
      </c>
      <c r="F16" s="793" t="str">
        <f ca="1">IF(ROWS($1:1)&gt;COUNT(Dong13),"",OFFSET(TH!K$1,SMALL(Dong13,ROWS($1:1)),))</f>
        <v/>
      </c>
      <c r="G16" s="702">
        <f t="shared" ref="G16:J25" ca="1" si="0">IF($E16=G$13,$F16,0)</f>
        <v>0</v>
      </c>
      <c r="H16" s="702">
        <f t="shared" ca="1" si="0"/>
        <v>0</v>
      </c>
      <c r="I16" s="702" t="str">
        <f t="shared" ca="1" si="0"/>
        <v/>
      </c>
      <c r="J16" s="702" t="str">
        <f t="shared" ca="1" si="0"/>
        <v/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IF(ROWS($1:2)&gt;COUNT(Dong13),"",OFFSET(TH!C$1,SMALL(Dong13,ROWS($1:2)),))</f>
        <v/>
      </c>
      <c r="B17" s="700" t="str">
        <f ca="1">IF(ROWS($1:2)&gt;COUNT(Dong13),"",OFFSET(TH!D$1,SMALL(Dong13,ROWS($1:2)),))</f>
        <v/>
      </c>
      <c r="C17" s="700" t="str">
        <f ca="1">IF(ROWS($1:2)&gt;COUNT(Dong13),"",OFFSET(TH!E$1,SMALL(Dong13,ROWS($1:2)),))</f>
        <v/>
      </c>
      <c r="D17" s="701" t="str">
        <f ca="1">IF(ROWS($1:2)&gt;COUNT(Dong13),"",OFFSET(TH!F$1,SMALL(Dong13,ROWS($1:2)),))</f>
        <v/>
      </c>
      <c r="E17" s="700" t="str">
        <f ca="1">IF(ROWS($1:2)&gt;COUNT(Dong13),"",OFFSET(TH!M$1,SMALL(Dong13,ROWS($1:2)),))</f>
        <v/>
      </c>
      <c r="F17" s="793" t="str">
        <f ca="1">IF(ROWS($1:2)&gt;COUNT(Dong13),"",OFFSET(TH!K$1,SMALL(Dong13,ROWS($1:2)),))</f>
        <v/>
      </c>
      <c r="G17" s="702">
        <f t="shared" ca="1" si="0"/>
        <v>0</v>
      </c>
      <c r="H17" s="702">
        <f t="shared" ca="1" si="0"/>
        <v>0</v>
      </c>
      <c r="I17" s="702" t="str">
        <f t="shared" ca="1" si="0"/>
        <v/>
      </c>
      <c r="J17" s="702" t="str">
        <f t="shared" ca="1" si="0"/>
        <v/>
      </c>
      <c r="K17" s="702" t="str">
        <f t="shared" ref="K17:L25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IF(ROWS($1:3)&gt;COUNT(Dong13),"",OFFSET(TH!C$1,SMALL(Dong13,ROWS($1:3)),))</f>
        <v/>
      </c>
      <c r="B18" s="700" t="str">
        <f ca="1">IF(ROWS($1:3)&gt;COUNT(Dong13),"",OFFSET(TH!D$1,SMALL(Dong13,ROWS($1:3)),))</f>
        <v/>
      </c>
      <c r="C18" s="700" t="str">
        <f ca="1">IF(ROWS($1:3)&gt;COUNT(Dong13),"",OFFSET(TH!E$1,SMALL(Dong13,ROWS($1:3)),))</f>
        <v/>
      </c>
      <c r="D18" s="701" t="str">
        <f ca="1">IF(ROWS($1:3)&gt;COUNT(Dong13),"",OFFSET(TH!F$1,SMALL(Dong13,ROWS($1:3)),))</f>
        <v/>
      </c>
      <c r="E18" s="700" t="str">
        <f ca="1">IF(ROWS($1:3)&gt;COUNT(Dong13),"",OFFSET(TH!M$1,SMALL(Dong13,ROWS($1:3)),))</f>
        <v/>
      </c>
      <c r="F18" s="793" t="str">
        <f ca="1">IF(ROWS($1:3)&gt;COUNT(Dong13),"",OFFSET(TH!K$1,SMALL(Dong13,ROWS($1:3)),))</f>
        <v/>
      </c>
      <c r="G18" s="702">
        <f t="shared" ca="1" si="0"/>
        <v>0</v>
      </c>
      <c r="H18" s="702">
        <f t="shared" ca="1" si="0"/>
        <v>0</v>
      </c>
      <c r="I18" s="702" t="str">
        <f t="shared" ca="1" si="0"/>
        <v/>
      </c>
      <c r="J18" s="702" t="str">
        <f t="shared" ca="1" si="0"/>
        <v/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IF(ROWS($1:4)&gt;COUNT(Dong13),"",OFFSET(TH!C$1,SMALL(Dong13,ROWS($1:4)),))</f>
        <v/>
      </c>
      <c r="B19" s="700" t="str">
        <f ca="1">IF(ROWS($1:4)&gt;COUNT(Dong13),"",OFFSET(TH!D$1,SMALL(Dong13,ROWS($1:4)),))</f>
        <v/>
      </c>
      <c r="C19" s="700" t="str">
        <f ca="1">IF(ROWS($1:4)&gt;COUNT(Dong13),"",OFFSET(TH!E$1,SMALL(Dong13,ROWS($1:4)),))</f>
        <v/>
      </c>
      <c r="D19" s="701" t="str">
        <f ca="1">IF(ROWS($1:4)&gt;COUNT(Dong13),"",OFFSET(TH!F$1,SMALL(Dong13,ROWS($1:4)),))</f>
        <v/>
      </c>
      <c r="E19" s="700" t="str">
        <f ca="1">IF(ROWS($1:4)&gt;COUNT(Dong13),"",OFFSET(TH!M$1,SMALL(Dong13,ROWS($1:4)),))</f>
        <v/>
      </c>
      <c r="F19" s="793" t="str">
        <f ca="1">IF(ROWS($1:4)&gt;COUNT(Dong13),"",OFFSET(TH!K$1,SMALL(Dong13,ROWS($1:4)),))</f>
        <v/>
      </c>
      <c r="G19" s="702">
        <f t="shared" ca="1" si="0"/>
        <v>0</v>
      </c>
      <c r="H19" s="702">
        <f t="shared" ca="1" si="0"/>
        <v>0</v>
      </c>
      <c r="I19" s="702" t="str">
        <f t="shared" ca="1" si="0"/>
        <v/>
      </c>
      <c r="J19" s="702" t="str">
        <f t="shared" ca="1" si="0"/>
        <v/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IF(ROWS($1:5)&gt;COUNT(Dong13),"",OFFSET(TH!C$1,SMALL(Dong13,ROWS($1:5)),))</f>
        <v/>
      </c>
      <c r="B20" s="700" t="str">
        <f ca="1">IF(ROWS($1:5)&gt;COUNT(Dong13),"",OFFSET(TH!D$1,SMALL(Dong13,ROWS($1:5)),))</f>
        <v/>
      </c>
      <c r="C20" s="700" t="str">
        <f ca="1">IF(ROWS($1:5)&gt;COUNT(Dong13),"",OFFSET(TH!E$1,SMALL(Dong13,ROWS($1:5)),))</f>
        <v/>
      </c>
      <c r="D20" s="701" t="str">
        <f ca="1">IF(ROWS($1:5)&gt;COUNT(Dong13),"",OFFSET(TH!F$1,SMALL(Dong13,ROWS($1:5)),))</f>
        <v/>
      </c>
      <c r="E20" s="700" t="str">
        <f ca="1">IF(ROWS($1:5)&gt;COUNT(Dong13),"",OFFSET(TH!M$1,SMALL(Dong13,ROWS($1:5)),))</f>
        <v/>
      </c>
      <c r="F20" s="793" t="str">
        <f ca="1">IF(ROWS($1:5)&gt;COUNT(Dong13),"",OFFSET(TH!K$1,SMALL(Dong13,ROWS($1:5)),))</f>
        <v/>
      </c>
      <c r="G20" s="702">
        <f t="shared" ca="1" si="0"/>
        <v>0</v>
      </c>
      <c r="H20" s="702">
        <f t="shared" ca="1" si="0"/>
        <v>0</v>
      </c>
      <c r="I20" s="702" t="str">
        <f t="shared" ca="1" si="0"/>
        <v/>
      </c>
      <c r="J20" s="702" t="str">
        <f t="shared" ca="1" si="0"/>
        <v/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IF(ROWS($1:6)&gt;COUNT(Dong13),"",OFFSET(TH!C$1,SMALL(Dong13,ROWS($1:6)),))</f>
        <v/>
      </c>
      <c r="B21" s="700" t="str">
        <f ca="1">IF(ROWS($1:6)&gt;COUNT(Dong13),"",OFFSET(TH!D$1,SMALL(Dong13,ROWS($1:6)),))</f>
        <v/>
      </c>
      <c r="C21" s="700" t="str">
        <f ca="1">IF(ROWS($1:6)&gt;COUNT(Dong13),"",OFFSET(TH!E$1,SMALL(Dong13,ROWS($1:6)),))</f>
        <v/>
      </c>
      <c r="D21" s="701" t="str">
        <f ca="1">IF(ROWS($1:6)&gt;COUNT(Dong13),"",OFFSET(TH!F$1,SMALL(Dong13,ROWS($1:6)),))</f>
        <v/>
      </c>
      <c r="E21" s="700" t="str">
        <f ca="1">IF(ROWS($1:6)&gt;COUNT(Dong13),"",OFFSET(TH!M$1,SMALL(Dong13,ROWS($1:6)),))</f>
        <v/>
      </c>
      <c r="F21" s="793" t="str">
        <f ca="1">IF(ROWS($1:6)&gt;COUNT(Dong13),"",OFFSET(TH!K$1,SMALL(Dong13,ROWS($1:6)),))</f>
        <v/>
      </c>
      <c r="G21" s="702">
        <f t="shared" ca="1" si="0"/>
        <v>0</v>
      </c>
      <c r="H21" s="702">
        <f t="shared" ca="1" si="0"/>
        <v>0</v>
      </c>
      <c r="I21" s="702" t="str">
        <f t="shared" ca="1" si="0"/>
        <v/>
      </c>
      <c r="J21" s="702" t="str">
        <f t="shared" ca="1" si="0"/>
        <v/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IF(ROWS($1:7)&gt;COUNT(Dong13),"",OFFSET(TH!C$1,SMALL(Dong13,ROWS($1:7)),))</f>
        <v/>
      </c>
      <c r="B22" s="700" t="str">
        <f ca="1">IF(ROWS($1:7)&gt;COUNT(Dong13),"",OFFSET(TH!D$1,SMALL(Dong13,ROWS($1:7)),))</f>
        <v/>
      </c>
      <c r="C22" s="700" t="str">
        <f ca="1">IF(ROWS($1:7)&gt;COUNT(Dong13),"",OFFSET(TH!E$1,SMALL(Dong13,ROWS($1:7)),))</f>
        <v/>
      </c>
      <c r="D22" s="701" t="str">
        <f ca="1">IF(ROWS($1:7)&gt;COUNT(Dong13),"",OFFSET(TH!F$1,SMALL(Dong13,ROWS($1:7)),))</f>
        <v/>
      </c>
      <c r="E22" s="700" t="str">
        <f ca="1">IF(ROWS($1:7)&gt;COUNT(Dong13),"",OFFSET(TH!M$1,SMALL(Dong13,ROWS($1:7)),))</f>
        <v/>
      </c>
      <c r="F22" s="793" t="str">
        <f ca="1">IF(ROWS($1:7)&gt;COUNT(Dong13),"",OFFSET(TH!K$1,SMALL(Dong13,ROWS($1:7)),))</f>
        <v/>
      </c>
      <c r="G22" s="702">
        <f t="shared" ca="1" si="0"/>
        <v>0</v>
      </c>
      <c r="H22" s="702">
        <f t="shared" ca="1" si="0"/>
        <v>0</v>
      </c>
      <c r="I22" s="702" t="str">
        <f t="shared" ca="1" si="0"/>
        <v/>
      </c>
      <c r="J22" s="702" t="str">
        <f t="shared" ca="1" si="0"/>
        <v/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IF(ROWS($1:8)&gt;COUNT(Dong13),"",OFFSET(TH!C$1,SMALL(Dong13,ROWS($1:8)),))</f>
        <v/>
      </c>
      <c r="B23" s="700" t="str">
        <f ca="1">IF(ROWS($1:8)&gt;COUNT(Dong13),"",OFFSET(TH!D$1,SMALL(Dong13,ROWS($1:8)),))</f>
        <v/>
      </c>
      <c r="C23" s="700" t="str">
        <f ca="1">IF(ROWS($1:8)&gt;COUNT(Dong13),"",OFFSET(TH!E$1,SMALL(Dong13,ROWS($1:8)),))</f>
        <v/>
      </c>
      <c r="D23" s="701" t="str">
        <f ca="1">IF(ROWS($1:8)&gt;COUNT(Dong13),"",OFFSET(TH!F$1,SMALL(Dong13,ROWS($1:8)),))</f>
        <v/>
      </c>
      <c r="E23" s="700" t="str">
        <f ca="1">IF(ROWS($1:8)&gt;COUNT(Dong13),"",OFFSET(TH!M$1,SMALL(Dong13,ROWS($1:8)),))</f>
        <v/>
      </c>
      <c r="F23" s="793" t="str">
        <f ca="1">IF(ROWS($1:8)&gt;COUNT(Dong13),"",OFFSET(TH!K$1,SMALL(Dong13,ROWS($1:8)),))</f>
        <v/>
      </c>
      <c r="G23" s="702">
        <f t="shared" ca="1" si="0"/>
        <v>0</v>
      </c>
      <c r="H23" s="702">
        <f t="shared" ca="1" si="0"/>
        <v>0</v>
      </c>
      <c r="I23" s="702" t="str">
        <f t="shared" ca="1" si="0"/>
        <v/>
      </c>
      <c r="J23" s="702" t="str">
        <f t="shared" ca="1" si="0"/>
        <v/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IF(ROWS($1:9)&gt;COUNT(Dong13),"",OFFSET(TH!C$1,SMALL(Dong13,ROWS($1:9)),))</f>
        <v/>
      </c>
      <c r="B24" s="700" t="str">
        <f ca="1">IF(ROWS($1:9)&gt;COUNT(Dong13),"",OFFSET(TH!D$1,SMALL(Dong13,ROWS($1:9)),))</f>
        <v/>
      </c>
      <c r="C24" s="700" t="str">
        <f ca="1">IF(ROWS($1:9)&gt;COUNT(Dong13),"",OFFSET(TH!E$1,SMALL(Dong13,ROWS($1:9)),))</f>
        <v/>
      </c>
      <c r="D24" s="701" t="str">
        <f ca="1">IF(ROWS($1:9)&gt;COUNT(Dong13),"",OFFSET(TH!F$1,SMALL(Dong13,ROWS($1:9)),))</f>
        <v/>
      </c>
      <c r="E24" s="700" t="str">
        <f ca="1">IF(ROWS($1:9)&gt;COUNT(Dong13),"",OFFSET(TH!M$1,SMALL(Dong13,ROWS($1:9)),))</f>
        <v/>
      </c>
      <c r="F24" s="793" t="str">
        <f ca="1">IF(ROWS($1:9)&gt;COUNT(Dong13),"",OFFSET(TH!K$1,SMALL(Dong13,ROWS($1:9)),))</f>
        <v/>
      </c>
      <c r="G24" s="702">
        <f t="shared" ca="1" si="0"/>
        <v>0</v>
      </c>
      <c r="H24" s="702">
        <f t="shared" ca="1" si="0"/>
        <v>0</v>
      </c>
      <c r="I24" s="702" t="str">
        <f t="shared" ca="1" si="0"/>
        <v/>
      </c>
      <c r="J24" s="702" t="str">
        <f t="shared" ca="1" si="0"/>
        <v/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IF(ROWS($1:10)&gt;COUNT(Dong13),"",OFFSET(TH!C$1,SMALL(Dong13,ROWS($1:10)),))</f>
        <v/>
      </c>
      <c r="B25" s="700" t="str">
        <f ca="1">IF(ROWS($1:10)&gt;COUNT(Dong13),"",OFFSET(TH!D$1,SMALL(Dong13,ROWS($1:10)),))</f>
        <v/>
      </c>
      <c r="C25" s="700" t="str">
        <f ca="1">IF(ROWS($1:10)&gt;COUNT(Dong13),"",OFFSET(TH!E$1,SMALL(Dong13,ROWS($1:10)),))</f>
        <v/>
      </c>
      <c r="D25" s="701" t="str">
        <f ca="1">IF(ROWS($1:10)&gt;COUNT(Dong13),"",OFFSET(TH!F$1,SMALL(Dong13,ROWS($1:10)),))</f>
        <v/>
      </c>
      <c r="E25" s="700" t="str">
        <f ca="1">IF(ROWS($1:10)&gt;COUNT(Dong13),"",OFFSET(TH!M$1,SMALL(Dong13,ROWS($1:10)),))</f>
        <v/>
      </c>
      <c r="F25" s="793" t="str">
        <f ca="1">IF(ROWS($1:10)&gt;COUNT(Dong13),"",OFFSET(TH!K$1,SMALL(Dong13,ROWS($1:10)),))</f>
        <v/>
      </c>
      <c r="G25" s="702">
        <f t="shared" ca="1" si="0"/>
        <v>0</v>
      </c>
      <c r="H25" s="702">
        <f t="shared" ca="1" si="0"/>
        <v>0</v>
      </c>
      <c r="I25" s="702" t="str">
        <f t="shared" ca="1" si="0"/>
        <v/>
      </c>
      <c r="J25" s="702" t="str">
        <f t="shared" ca="1" si="0"/>
        <v/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/>
      <c r="B26" s="703"/>
      <c r="C26" s="700"/>
      <c r="D26" s="704"/>
      <c r="E26" s="705"/>
      <c r="F26" s="706"/>
      <c r="G26" s="706"/>
      <c r="H26" s="706"/>
      <c r="I26" s="706"/>
      <c r="J26" s="706"/>
      <c r="K26" s="706"/>
      <c r="L26" s="706"/>
    </row>
    <row r="27" spans="1:12" ht="21.75" customHeight="1">
      <c r="A27" s="700"/>
      <c r="B27" s="703"/>
      <c r="C27" s="700"/>
      <c r="D27" s="698" t="s">
        <v>133</v>
      </c>
      <c r="E27" s="697" t="s">
        <v>19</v>
      </c>
      <c r="F27" s="699">
        <f t="shared" ref="F27:L27" ca="1" si="2">SUM(F15:F26)</f>
        <v>0</v>
      </c>
      <c r="G27" s="699">
        <f t="shared" ca="1" si="2"/>
        <v>0</v>
      </c>
      <c r="H27" s="699">
        <f t="shared" ca="1" si="2"/>
        <v>0</v>
      </c>
      <c r="I27" s="699">
        <f t="shared" ca="1" si="2"/>
        <v>0</v>
      </c>
      <c r="J27" s="699">
        <f t="shared" ca="1" si="2"/>
        <v>0</v>
      </c>
      <c r="K27" s="699">
        <f t="shared" ca="1" si="2"/>
        <v>0</v>
      </c>
      <c r="L27" s="699">
        <f t="shared" ca="1" si="2"/>
        <v>0</v>
      </c>
    </row>
    <row r="28" spans="1:12" ht="21.75" customHeight="1">
      <c r="A28" s="707"/>
      <c r="B28" s="705"/>
      <c r="C28" s="707"/>
      <c r="D28" s="708" t="s">
        <v>576</v>
      </c>
      <c r="E28" s="703"/>
      <c r="F28" s="699">
        <f ca="1">SUM(G28:L28)</f>
        <v>0</v>
      </c>
      <c r="G28" s="709">
        <f t="shared" ref="G28:L28" ca="1" si="3">G27</f>
        <v>0</v>
      </c>
      <c r="H28" s="709">
        <f t="shared" ca="1" si="3"/>
        <v>0</v>
      </c>
      <c r="I28" s="709">
        <f t="shared" ca="1" si="3"/>
        <v>0</v>
      </c>
      <c r="J28" s="709">
        <f t="shared" ca="1" si="3"/>
        <v>0</v>
      </c>
      <c r="K28" s="709">
        <f t="shared" ca="1" si="3"/>
        <v>0</v>
      </c>
      <c r="L28" s="709">
        <f t="shared" ca="1" si="3"/>
        <v>0</v>
      </c>
    </row>
    <row r="29" spans="1:12" ht="21.75" customHeight="1">
      <c r="A29" s="710"/>
      <c r="B29" s="710"/>
      <c r="C29" s="710"/>
      <c r="D29" s="711" t="s">
        <v>10</v>
      </c>
      <c r="E29" s="710" t="s">
        <v>19</v>
      </c>
      <c r="F29" s="712">
        <f t="shared" ref="F29:L29" ca="1" si="4">F15+F27-F28</f>
        <v>0</v>
      </c>
      <c r="G29" s="712">
        <f t="shared" ca="1" si="4"/>
        <v>0</v>
      </c>
      <c r="H29" s="712">
        <f t="shared" ca="1" si="4"/>
        <v>0</v>
      </c>
      <c r="I29" s="712">
        <f t="shared" ca="1" si="4"/>
        <v>0</v>
      </c>
      <c r="J29" s="712">
        <f t="shared" ca="1" si="4"/>
        <v>0</v>
      </c>
      <c r="K29" s="712">
        <f t="shared" ca="1" si="4"/>
        <v>0</v>
      </c>
      <c r="L29" s="712">
        <f t="shared" ca="1" si="4"/>
        <v>0</v>
      </c>
    </row>
    <row r="31" spans="1:12">
      <c r="B31" s="713"/>
      <c r="C31" s="693" t="s">
        <v>472</v>
      </c>
    </row>
    <row r="32" spans="1:12">
      <c r="C32" s="693" t="e">
        <f ca="1">"- Ngày mở sổ: "&amp;"01/"&amp;MONTH(A16)&amp;"/"&amp;YEAR(A16)</f>
        <v>#VALUE!</v>
      </c>
    </row>
    <row r="33" spans="2:12">
      <c r="E33" s="692"/>
      <c r="F33" s="692"/>
      <c r="G33" s="692"/>
      <c r="H33" s="692"/>
      <c r="I33" s="692"/>
      <c r="J33" s="1013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13"/>
      <c r="L33" s="1013"/>
    </row>
    <row r="34" spans="2:12">
      <c r="B34" s="692"/>
      <c r="C34" s="786" t="s">
        <v>11</v>
      </c>
      <c r="D34" s="692"/>
      <c r="E34" s="692"/>
      <c r="F34" s="692"/>
      <c r="G34" s="692"/>
      <c r="H34" s="692"/>
      <c r="I34" s="692"/>
      <c r="J34" s="1013" t="s">
        <v>12</v>
      </c>
      <c r="K34" s="1013"/>
      <c r="L34" s="1013"/>
    </row>
    <row r="35" spans="2:12">
      <c r="B35" s="692"/>
      <c r="C35" s="786" t="s">
        <v>13</v>
      </c>
      <c r="D35" s="692"/>
      <c r="E35" s="692"/>
      <c r="F35" s="692"/>
      <c r="G35" s="692"/>
      <c r="H35" s="692"/>
      <c r="I35" s="692"/>
      <c r="J35" s="1060" t="s">
        <v>13</v>
      </c>
      <c r="K35" s="1060"/>
      <c r="L35" s="1060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2" customWidth="1"/>
    <col min="2" max="2" width="11" style="242" customWidth="1"/>
    <col min="3" max="3" width="22.14062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2" ht="21.75" customHeight="1">
      <c r="A1" s="842" t="str">
        <f>TH!$A$1</f>
        <v>Đơn vị: CÔNG TY TNHH MỘT THÀNH VIÊN KHỞI NGUYÊN AN</v>
      </c>
      <c r="D1" s="844"/>
      <c r="E1" s="844"/>
      <c r="F1" s="844"/>
      <c r="G1" s="844"/>
      <c r="I1" s="1064"/>
      <c r="J1" s="1064"/>
      <c r="K1" s="1064"/>
      <c r="L1" s="1064"/>
    </row>
    <row r="2" spans="1:12" ht="21.75" customHeight="1">
      <c r="A2" s="843" t="str">
        <f>TH!$A$2</f>
        <v>Địa chỉ: Thửa đất số 144, tờ bản đồ số 12TĐH.1, tổ 1, khu phố Đông Tác, Phường Tân Đông Hiệp, Thị Xã Dĩ An, Tỉnh Bình Dương, Việt Nam</v>
      </c>
      <c r="D2" s="844"/>
      <c r="E2" s="844"/>
      <c r="F2" s="844"/>
      <c r="G2" s="844"/>
      <c r="I2" s="1064"/>
      <c r="J2" s="1064"/>
      <c r="K2" s="1064"/>
      <c r="L2" s="1064"/>
    </row>
    <row r="3" spans="1:12">
      <c r="D3" s="1064"/>
      <c r="E3" s="1064"/>
      <c r="F3" s="1064"/>
      <c r="G3" s="1064"/>
      <c r="I3" s="1064"/>
      <c r="J3" s="1064"/>
      <c r="K3" s="1064"/>
      <c r="L3" s="1064"/>
    </row>
    <row r="14" spans="1:12" ht="40.5" customHeight="1">
      <c r="H14" s="243"/>
      <c r="I14" s="243"/>
      <c r="J14" s="243"/>
    </row>
    <row r="16" spans="1:12" ht="29.25" customHeight="1">
      <c r="A16" s="1062" t="s">
        <v>588</v>
      </c>
      <c r="B16" s="1062"/>
      <c r="C16" s="1062"/>
      <c r="D16" s="1062"/>
      <c r="E16" s="1062"/>
      <c r="F16" s="1062"/>
      <c r="G16" s="1062"/>
    </row>
    <row r="17" spans="1:9" ht="6" customHeight="1">
      <c r="H17" s="244"/>
      <c r="I17" s="244"/>
    </row>
    <row r="18" spans="1:9" ht="20.25">
      <c r="A18" s="1063" t="s">
        <v>587</v>
      </c>
      <c r="B18" s="1063"/>
      <c r="C18" s="1063"/>
      <c r="D18" s="1063"/>
      <c r="E18" s="1063"/>
      <c r="F18" s="1063"/>
      <c r="G18" s="1063"/>
    </row>
    <row r="19" spans="1:9" ht="64.5" customHeight="1"/>
    <row r="22" spans="1:9" ht="22.5" customHeight="1">
      <c r="B22" s="245" t="s">
        <v>590</v>
      </c>
    </row>
    <row r="23" spans="1:9" ht="22.5" customHeight="1">
      <c r="B23" s="245" t="s">
        <v>589</v>
      </c>
    </row>
    <row r="24" spans="1:9" ht="22.5" customHeight="1">
      <c r="B24" s="245" t="s">
        <v>591</v>
      </c>
    </row>
    <row r="25" spans="1:9" ht="22.5" customHeight="1">
      <c r="B25" s="245" t="s">
        <v>594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0" workbookViewId="0">
      <selection activeCell="C20" sqref="C20"/>
    </sheetView>
  </sheetViews>
  <sheetFormatPr defaultRowHeight="12.75"/>
  <cols>
    <col min="1" max="1" width="15.42578125" style="242" customWidth="1"/>
    <col min="2" max="2" width="11" style="242" customWidth="1"/>
    <col min="3" max="3" width="30.8554687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0">
      <c r="A1" s="836" t="str">
        <f>TH!$A$1</f>
        <v>Đơn vị: CÔNG TY TNHH MỘT THÀNH VIÊN KHỞI NGUYÊN AN</v>
      </c>
      <c r="D1" s="1064"/>
      <c r="E1" s="1064"/>
      <c r="F1" s="1064"/>
      <c r="G1" s="1064"/>
    </row>
    <row r="2" spans="1:10">
      <c r="A2" s="837" t="str">
        <f>TH!$A$2</f>
        <v>Địa chỉ: Thửa đất số 144, tờ bản đồ số 12TĐH.1, tổ 1, khu phố Đông Tác, Phường Tân Đông Hiệp, Thị Xã Dĩ An, Tỉnh Bình Dương, Việt Nam</v>
      </c>
      <c r="D2" s="1064"/>
      <c r="E2" s="1064"/>
      <c r="F2" s="1064"/>
      <c r="G2" s="1064"/>
    </row>
    <row r="3" spans="1:10">
      <c r="D3" s="1064"/>
      <c r="E3" s="1064"/>
      <c r="F3" s="1064"/>
      <c r="G3" s="1064"/>
    </row>
    <row r="8" spans="1:10" ht="74.25" customHeight="1">
      <c r="H8" s="243"/>
      <c r="I8" s="243"/>
      <c r="J8" s="243"/>
    </row>
    <row r="10" spans="1:10" ht="29.25" customHeight="1">
      <c r="A10" s="1062" t="s">
        <v>592</v>
      </c>
      <c r="B10" s="1062"/>
      <c r="C10" s="1062"/>
      <c r="D10" s="1062"/>
      <c r="E10" s="1062"/>
      <c r="F10" s="1062"/>
      <c r="G10" s="1062"/>
    </row>
    <row r="11" spans="1:10" ht="18.75" customHeight="1">
      <c r="H11" s="244"/>
      <c r="I11" s="244"/>
    </row>
    <row r="12" spans="1:10" ht="20.25">
      <c r="A12" s="1063" t="s">
        <v>587</v>
      </c>
      <c r="B12" s="1063"/>
      <c r="C12" s="1063"/>
      <c r="D12" s="1063"/>
      <c r="E12" s="1063"/>
      <c r="F12" s="1063"/>
      <c r="G12" s="1063"/>
    </row>
    <row r="13" spans="1:10" ht="18.75" customHeight="1">
      <c r="B13" s="242" t="s">
        <v>595</v>
      </c>
    </row>
    <row r="14" spans="1:10" ht="18.75" customHeight="1">
      <c r="B14" s="242" t="s">
        <v>596</v>
      </c>
    </row>
    <row r="15" spans="1:10" ht="18.75" customHeight="1">
      <c r="B15" s="242" t="s">
        <v>597</v>
      </c>
    </row>
    <row r="16" spans="1:10" ht="18.75" customHeight="1">
      <c r="B16" s="242" t="s">
        <v>598</v>
      </c>
    </row>
    <row r="17" spans="2:2" ht="18.75" customHeight="1">
      <c r="B17" s="242" t="s">
        <v>599</v>
      </c>
    </row>
    <row r="18" spans="2:2" ht="18.75" customHeight="1">
      <c r="B18" s="242" t="s">
        <v>600</v>
      </c>
    </row>
    <row r="19" spans="2:2" ht="18.75" customHeight="1">
      <c r="B19" s="242" t="s">
        <v>601</v>
      </c>
    </row>
    <row r="20" spans="2:2" ht="18.75" customHeight="1">
      <c r="B20" s="242" t="s">
        <v>593</v>
      </c>
    </row>
  </sheetData>
  <mergeCells count="5">
    <mergeCell ref="D1:G1"/>
    <mergeCell ref="D2:G2"/>
    <mergeCell ref="D3:G3"/>
    <mergeCell ref="A10:G10"/>
    <mergeCell ref="A12:G12"/>
  </mergeCells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56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2016-05-26T06:26:26Z</cp:lastPrinted>
  <dcterms:created xsi:type="dcterms:W3CDTF">1996-10-14T23:33:28Z</dcterms:created>
  <dcterms:modified xsi:type="dcterms:W3CDTF">2016-07-23T06:41:27Z</dcterms:modified>
</cp:coreProperties>
</file>